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bookViews>
    <workbookView xWindow="0" yWindow="0" windowWidth="22500" windowHeight="12307" firstSheet="1" activeTab="2" xr2:uid="{00000000-000D-0000-FFFF-FFFF00000000}"/>
  </bookViews>
  <sheets>
    <sheet name="AMEX" sheetId="5" r:id="rId1"/>
    <sheet name="Post xfer 2014 " sheetId="8" r:id="rId2"/>
    <sheet name="monthly bills 2017" sheetId="11" r:id="rId3"/>
    <sheet name="monthly bills 2016" sheetId="10" r:id="rId4"/>
    <sheet name="monthly bills 2015" sheetId="9" r:id="rId5"/>
    <sheet name="2014" sheetId="6" r:id="rId6"/>
    <sheet name="2012+2013" sheetId="4" r:id="rId7"/>
    <sheet name="2011" sheetId="1" r:id="rId8"/>
    <sheet name="monthly bills 2014" sheetId="7" r:id="rId9"/>
    <sheet name="monthly bills 2013" sheetId="3" r:id="rId10"/>
  </sheets>
  <definedNames>
    <definedName name="_xlnm.Print_Area" localSheetId="9">'monthly bills 2013'!$A$1:$T$34</definedName>
    <definedName name="_xlnm.Print_Area" localSheetId="8">'monthly bills 2014'!$A$1:$Z$38</definedName>
    <definedName name="_xlnm.Print_Area" localSheetId="4">'monthly bills 2015'!$A$1:$S$37</definedName>
    <definedName name="_xlnm.Print_Area" localSheetId="3">'monthly bills 2016'!$A$1:$S$50</definedName>
    <definedName name="_xlnm.Print_Area" localSheetId="2">'monthly bills 2017'!$A$1:$P$89</definedName>
  </definedNames>
  <calcPr calcId="171027"/>
</workbook>
</file>

<file path=xl/calcChain.xml><?xml version="1.0" encoding="utf-8"?>
<calcChain xmlns="http://schemas.openxmlformats.org/spreadsheetml/2006/main">
  <c r="E8" i="11" l="1"/>
  <c r="E33" i="11"/>
  <c r="E38" i="11"/>
  <c r="C7" i="11"/>
  <c r="E40" i="11" l="1"/>
  <c r="E42" i="11" s="1"/>
  <c r="B7" i="11"/>
  <c r="B8" i="11" s="1"/>
  <c r="B21" i="11"/>
  <c r="B31" i="11"/>
  <c r="B56" i="11"/>
  <c r="B61" i="11"/>
  <c r="B54" i="11"/>
  <c r="L33" i="11"/>
  <c r="P32" i="11"/>
  <c r="B52" i="11"/>
  <c r="N8" i="11"/>
  <c r="M8" i="11"/>
  <c r="L8" i="11"/>
  <c r="K8" i="11"/>
  <c r="I8" i="11"/>
  <c r="H8" i="11"/>
  <c r="G8" i="11"/>
  <c r="F8" i="11"/>
  <c r="D8" i="11"/>
  <c r="C8" i="11"/>
  <c r="P17" i="11"/>
  <c r="P14" i="11"/>
  <c r="P28" i="11"/>
  <c r="N33" i="11"/>
  <c r="N38" i="11"/>
  <c r="M33" i="11"/>
  <c r="M38" i="11"/>
  <c r="L38" i="11"/>
  <c r="K33" i="11"/>
  <c r="K38" i="11"/>
  <c r="I33" i="11"/>
  <c r="I38" i="11"/>
  <c r="H33" i="11"/>
  <c r="H38" i="11"/>
  <c r="G33" i="11"/>
  <c r="G38" i="11"/>
  <c r="F33" i="11"/>
  <c r="F38" i="11"/>
  <c r="D33" i="11"/>
  <c r="D38" i="11"/>
  <c r="C33" i="11"/>
  <c r="C38" i="11"/>
  <c r="B38" i="11"/>
  <c r="P6" i="11"/>
  <c r="P5" i="11"/>
  <c r="P4" i="11"/>
  <c r="M28" i="10"/>
  <c r="O15" i="10"/>
  <c r="P11" i="11"/>
  <c r="P12" i="11"/>
  <c r="P15" i="11"/>
  <c r="P16" i="11"/>
  <c r="P18" i="11"/>
  <c r="P19" i="11"/>
  <c r="P20" i="11"/>
  <c r="P22" i="11"/>
  <c r="P24" i="11"/>
  <c r="P25" i="11"/>
  <c r="P26" i="11"/>
  <c r="P27" i="11"/>
  <c r="P29" i="11"/>
  <c r="P30" i="11"/>
  <c r="P35" i="11"/>
  <c r="P36" i="11"/>
  <c r="P37" i="11"/>
  <c r="L28" i="10"/>
  <c r="K28" i="10"/>
  <c r="B47" i="10"/>
  <c r="B42" i="10"/>
  <c r="B28" i="10"/>
  <c r="B6" i="10"/>
  <c r="B21" i="10"/>
  <c r="B26" i="10"/>
  <c r="B19" i="10"/>
  <c r="M25" i="9"/>
  <c r="L25" i="9"/>
  <c r="K25" i="9"/>
  <c r="J25" i="9"/>
  <c r="O16" i="10"/>
  <c r="J18" i="9"/>
  <c r="J23" i="9"/>
  <c r="J27" i="9"/>
  <c r="K18" i="9"/>
  <c r="K23" i="9"/>
  <c r="K27" i="9"/>
  <c r="L18" i="9"/>
  <c r="L23" i="9"/>
  <c r="L27" i="9"/>
  <c r="M18" i="9"/>
  <c r="M23" i="9"/>
  <c r="M27" i="9"/>
  <c r="B18" i="9"/>
  <c r="B23" i="9"/>
  <c r="B27" i="9"/>
  <c r="C18" i="9"/>
  <c r="C23" i="9"/>
  <c r="D18" i="9"/>
  <c r="D23" i="9"/>
  <c r="E18" i="9"/>
  <c r="E23" i="9"/>
  <c r="E27" i="9"/>
  <c r="F25" i="9"/>
  <c r="F18" i="9"/>
  <c r="F23" i="9"/>
  <c r="F27" i="9"/>
  <c r="G25" i="9"/>
  <c r="G18" i="9"/>
  <c r="G23" i="9"/>
  <c r="G36" i="9"/>
  <c r="H25" i="9"/>
  <c r="H18" i="9"/>
  <c r="H23" i="9"/>
  <c r="H27" i="9"/>
  <c r="I25" i="9"/>
  <c r="I18" i="9"/>
  <c r="I23" i="9"/>
  <c r="I27" i="9"/>
  <c r="O22" i="9"/>
  <c r="O21" i="9"/>
  <c r="O20" i="9"/>
  <c r="O17" i="9"/>
  <c r="O16" i="9"/>
  <c r="O15" i="9"/>
  <c r="O14" i="9"/>
  <c r="O13" i="9"/>
  <c r="O12" i="9"/>
  <c r="O11" i="9"/>
  <c r="O10" i="9"/>
  <c r="O9" i="9"/>
  <c r="O8" i="9"/>
  <c r="O6" i="9"/>
  <c r="O7" i="9"/>
  <c r="O5" i="9"/>
  <c r="O4" i="9"/>
  <c r="O3" i="9"/>
  <c r="O18" i="9"/>
  <c r="B30" i="10"/>
  <c r="C28" i="10"/>
  <c r="C21" i="10"/>
  <c r="C26" i="10"/>
  <c r="C30" i="10"/>
  <c r="D28" i="10"/>
  <c r="D21" i="10"/>
  <c r="D26" i="10"/>
  <c r="D30" i="10"/>
  <c r="E28" i="10"/>
  <c r="E21" i="10"/>
  <c r="E26" i="10"/>
  <c r="E30" i="10"/>
  <c r="F28" i="10"/>
  <c r="F21" i="10"/>
  <c r="F26" i="10"/>
  <c r="F30" i="10"/>
  <c r="G28" i="10"/>
  <c r="G21" i="10"/>
  <c r="G26" i="10"/>
  <c r="G30" i="10"/>
  <c r="H28" i="10"/>
  <c r="H21" i="10"/>
  <c r="H26" i="10"/>
  <c r="H30" i="10"/>
  <c r="I28" i="10"/>
  <c r="I21" i="10"/>
  <c r="I26" i="10"/>
  <c r="I30" i="10"/>
  <c r="J28" i="10"/>
  <c r="J21" i="10"/>
  <c r="J26" i="10"/>
  <c r="J30" i="10"/>
  <c r="K21" i="10"/>
  <c r="K26" i="10"/>
  <c r="K30" i="10"/>
  <c r="L21" i="10"/>
  <c r="L26" i="10"/>
  <c r="L30" i="10"/>
  <c r="M21" i="10"/>
  <c r="M26" i="10"/>
  <c r="M30" i="10"/>
  <c r="O25" i="10"/>
  <c r="O24" i="10"/>
  <c r="O23" i="10"/>
  <c r="O20" i="10"/>
  <c r="O19" i="10"/>
  <c r="O18" i="10"/>
  <c r="O17" i="10"/>
  <c r="O14" i="10"/>
  <c r="O13" i="10"/>
  <c r="O12" i="10"/>
  <c r="O11" i="10"/>
  <c r="O10" i="10"/>
  <c r="O9" i="10"/>
  <c r="O8" i="10"/>
  <c r="O7" i="10"/>
  <c r="O6" i="10"/>
  <c r="O5" i="10"/>
  <c r="O4" i="10"/>
  <c r="O21" i="10"/>
  <c r="O26" i="10"/>
  <c r="O3" i="10"/>
  <c r="H10" i="5"/>
  <c r="E5" i="5"/>
  <c r="E6" i="5"/>
  <c r="E7" i="5"/>
  <c r="F7" i="5"/>
  <c r="E8" i="5"/>
  <c r="F6" i="5"/>
  <c r="C29" i="5"/>
  <c r="C17" i="5"/>
  <c r="O23" i="9"/>
  <c r="B36" i="9"/>
  <c r="Q18" i="7"/>
  <c r="Q19" i="7"/>
  <c r="Q24" i="7"/>
  <c r="Q28" i="7"/>
  <c r="Q26" i="7"/>
  <c r="P6" i="7"/>
  <c r="O18" i="7"/>
  <c r="F2" i="6"/>
  <c r="B17" i="6"/>
  <c r="B15" i="6"/>
  <c r="F4" i="6"/>
  <c r="B14" i="6"/>
  <c r="N2" i="8"/>
  <c r="N3" i="8"/>
  <c r="N4" i="8"/>
  <c r="B4" i="8"/>
  <c r="E4" i="8"/>
  <c r="F4" i="8"/>
  <c r="G4" i="8"/>
  <c r="H4" i="8"/>
  <c r="I4" i="8"/>
  <c r="J4" i="8"/>
  <c r="K4" i="8"/>
  <c r="B17" i="8"/>
  <c r="L4" i="8"/>
  <c r="C9" i="8"/>
  <c r="B13" i="8"/>
  <c r="C13" i="8"/>
  <c r="C14" i="8"/>
  <c r="C15" i="8"/>
  <c r="C16" i="8"/>
  <c r="C17" i="8"/>
  <c r="C18" i="8"/>
  <c r="C19" i="8"/>
  <c r="B14" i="8"/>
  <c r="B15" i="8"/>
  <c r="B16" i="8"/>
  <c r="B18" i="8"/>
  <c r="B19" i="8"/>
  <c r="B4" i="6"/>
  <c r="C9" i="6"/>
  <c r="E4" i="6"/>
  <c r="B13" i="6"/>
  <c r="C13" i="6"/>
  <c r="C14" i="6"/>
  <c r="C15" i="6"/>
  <c r="C16" i="6"/>
  <c r="C17" i="6"/>
  <c r="C18" i="6"/>
  <c r="C19" i="6"/>
  <c r="G4" i="6"/>
  <c r="H4" i="6"/>
  <c r="I4" i="6"/>
  <c r="J4" i="6"/>
  <c r="B18" i="6"/>
  <c r="B16" i="6"/>
  <c r="K4" i="6"/>
  <c r="B19" i="6"/>
  <c r="L4" i="6"/>
  <c r="N2" i="6"/>
  <c r="L18" i="7"/>
  <c r="L19" i="7"/>
  <c r="U19" i="7"/>
  <c r="U24" i="7"/>
  <c r="U28" i="7"/>
  <c r="S19" i="7"/>
  <c r="S24" i="7"/>
  <c r="S28" i="7"/>
  <c r="R19" i="7"/>
  <c r="R24" i="7"/>
  <c r="R28" i="7"/>
  <c r="P19" i="7"/>
  <c r="P24" i="7"/>
  <c r="P28" i="7"/>
  <c r="O19" i="7"/>
  <c r="O24" i="7"/>
  <c r="O37" i="7"/>
  <c r="O28" i="7"/>
  <c r="N19" i="7"/>
  <c r="N24" i="7"/>
  <c r="M19" i="7"/>
  <c r="M24" i="7"/>
  <c r="M28" i="7"/>
  <c r="L24" i="7"/>
  <c r="L37" i="7"/>
  <c r="L28" i="7"/>
  <c r="N3" i="6"/>
  <c r="K19" i="7"/>
  <c r="K24" i="7"/>
  <c r="K37" i="7"/>
  <c r="J19" i="7"/>
  <c r="J24" i="7"/>
  <c r="J37" i="7"/>
  <c r="I19" i="7"/>
  <c r="I24" i="7"/>
  <c r="I37" i="7"/>
  <c r="C19" i="7"/>
  <c r="C24" i="7"/>
  <c r="D19" i="7"/>
  <c r="E19" i="7"/>
  <c r="F19" i="7"/>
  <c r="F24" i="7"/>
  <c r="G19" i="7"/>
  <c r="G24" i="7"/>
  <c r="H19" i="7"/>
  <c r="V19" i="7"/>
  <c r="D24" i="7"/>
  <c r="E24" i="7"/>
  <c r="H24" i="7"/>
  <c r="V24" i="7"/>
  <c r="X32" i="3"/>
  <c r="H4" i="4"/>
  <c r="F2" i="4"/>
  <c r="H2" i="4"/>
  <c r="H6" i="4"/>
  <c r="G6" i="4"/>
  <c r="E6" i="4"/>
  <c r="B6" i="4"/>
  <c r="T22" i="3"/>
  <c r="T27" i="3"/>
  <c r="X33" i="3"/>
  <c r="X34" i="3"/>
  <c r="H5" i="4"/>
  <c r="S22" i="3"/>
  <c r="S27" i="3"/>
  <c r="B13" i="4"/>
  <c r="F3" i="4"/>
  <c r="H3" i="4"/>
  <c r="F4" i="4"/>
  <c r="F5" i="4"/>
  <c r="R22" i="3"/>
  <c r="R27" i="3"/>
  <c r="C11" i="4"/>
  <c r="C12" i="4"/>
  <c r="Q22" i="3"/>
  <c r="Q27" i="3"/>
  <c r="P22" i="3"/>
  <c r="P27" i="3"/>
  <c r="O22" i="3"/>
  <c r="O27" i="3"/>
  <c r="N22" i="3"/>
  <c r="N27" i="3"/>
  <c r="V22" i="3"/>
  <c r="V27" i="3"/>
  <c r="M22" i="3"/>
  <c r="M27" i="3"/>
  <c r="L22" i="3"/>
  <c r="L27" i="3"/>
  <c r="K22" i="3"/>
  <c r="K27" i="3"/>
  <c r="J22" i="3"/>
  <c r="J27" i="3"/>
  <c r="C13" i="4"/>
  <c r="C14" i="4"/>
  <c r="B14" i="4"/>
  <c r="I3" i="3"/>
  <c r="I22" i="3"/>
  <c r="I27" i="3"/>
  <c r="H22" i="3"/>
  <c r="H27" i="3"/>
  <c r="G22" i="3"/>
  <c r="G27" i="3"/>
  <c r="F22" i="3"/>
  <c r="F27" i="3"/>
  <c r="E5" i="3"/>
  <c r="E22" i="3"/>
  <c r="E27" i="3"/>
  <c r="D22" i="3"/>
  <c r="D27" i="3"/>
  <c r="C22" i="3"/>
  <c r="C27" i="3"/>
  <c r="F4" i="1"/>
  <c r="F7" i="1"/>
  <c r="B15" i="1"/>
  <c r="B7" i="1"/>
  <c r="C12" i="1"/>
  <c r="C13" i="1"/>
  <c r="C14" i="1"/>
  <c r="G5" i="1"/>
  <c r="E7" i="1"/>
  <c r="G7" i="1"/>
  <c r="B14" i="1"/>
  <c r="D27" i="9"/>
  <c r="D36" i="9"/>
  <c r="C15" i="1"/>
  <c r="N28" i="7"/>
  <c r="N37" i="7"/>
  <c r="H36" i="9"/>
  <c r="E9" i="5"/>
  <c r="F8" i="5"/>
  <c r="O27" i="9"/>
  <c r="F36" i="9"/>
  <c r="O25" i="9"/>
  <c r="N4" i="6"/>
  <c r="O30" i="10"/>
  <c r="C36" i="9"/>
  <c r="C27" i="9"/>
  <c r="F6" i="4"/>
  <c r="M37" i="7"/>
  <c r="G4" i="1"/>
  <c r="E36" i="9"/>
  <c r="O28" i="10"/>
  <c r="G27" i="9"/>
  <c r="E10" i="5"/>
  <c r="F9" i="5"/>
  <c r="E11" i="5"/>
  <c r="F10" i="5"/>
  <c r="F11" i="5"/>
  <c r="E12" i="5"/>
  <c r="F12" i="5"/>
  <c r="P7" i="11" l="1"/>
  <c r="C40" i="11"/>
  <c r="N40" i="11"/>
  <c r="N42" i="11" s="1"/>
  <c r="B62" i="11"/>
  <c r="M40" i="11"/>
  <c r="M42" i="11" s="1"/>
  <c r="B33" i="11"/>
  <c r="B40" i="11" s="1"/>
  <c r="B42" i="11" s="1"/>
  <c r="I40" i="11"/>
  <c r="I42" i="11" s="1"/>
  <c r="G40" i="11"/>
  <c r="G42" i="11" s="1"/>
  <c r="L40" i="11"/>
  <c r="L42" i="11" s="1"/>
  <c r="F40" i="11"/>
  <c r="F42" i="11" s="1"/>
  <c r="H40" i="11"/>
  <c r="H42" i="11" s="1"/>
  <c r="K40" i="11"/>
  <c r="K42" i="11" s="1"/>
  <c r="P31" i="11"/>
  <c r="P33" i="11" s="1"/>
  <c r="P38" i="11" s="1"/>
  <c r="D40" i="11"/>
  <c r="D42" i="11" s="1"/>
  <c r="P8" i="11"/>
  <c r="C42" i="11"/>
  <c r="P40" i="11" l="1"/>
  <c r="P42" i="11"/>
</calcChain>
</file>

<file path=xl/sharedStrings.xml><?xml version="1.0" encoding="utf-8"?>
<sst xmlns="http://schemas.openxmlformats.org/spreadsheetml/2006/main" count="427" uniqueCount="176">
  <si>
    <t>July</t>
  </si>
  <si>
    <t>TOTAL</t>
  </si>
  <si>
    <t>Mtly Bal</t>
  </si>
  <si>
    <t>August</t>
  </si>
  <si>
    <t>Nov</t>
  </si>
  <si>
    <t>Dec</t>
  </si>
  <si>
    <t>11/11 pmt</t>
  </si>
  <si>
    <t>12/11 pmt</t>
  </si>
  <si>
    <t>CitiBank 0% thru 6/12</t>
  </si>
  <si>
    <t>HSBC 0% thru 9/13/12</t>
  </si>
  <si>
    <t>September</t>
  </si>
  <si>
    <t>October</t>
  </si>
  <si>
    <t>November</t>
  </si>
  <si>
    <t>December</t>
  </si>
  <si>
    <t>As of 12/15/11</t>
  </si>
  <si>
    <t>Beginning Balance</t>
  </si>
  <si>
    <t>AMEX - Jetblue</t>
  </si>
  <si>
    <t>AMEX-Delta</t>
  </si>
  <si>
    <t>CitiCards</t>
  </si>
  <si>
    <t>FPL</t>
  </si>
  <si>
    <t>Greenhouse Acres</t>
  </si>
  <si>
    <t>GE Capital</t>
  </si>
  <si>
    <t>HBSC-Bestbuy</t>
  </si>
  <si>
    <t>HBSC-Jordans</t>
  </si>
  <si>
    <t>Macys</t>
  </si>
  <si>
    <t>RMLD</t>
  </si>
  <si>
    <t>Verizon</t>
  </si>
  <si>
    <t>Verizon Wireless</t>
  </si>
  <si>
    <t>Town of Reading</t>
  </si>
  <si>
    <t>Move to Svgs for RE Taxes</t>
  </si>
  <si>
    <t>Bill Pay -BoA</t>
  </si>
  <si>
    <t>Other pmts</t>
  </si>
  <si>
    <t>Commuter Rail</t>
  </si>
  <si>
    <t>Food (75 per week average)</t>
  </si>
  <si>
    <t>Gas (30 per week average)</t>
  </si>
  <si>
    <t>Safety Insurance home</t>
  </si>
  <si>
    <t>Safety Insurance autos</t>
  </si>
  <si>
    <t>Payments</t>
  </si>
  <si>
    <t>Comcast</t>
  </si>
  <si>
    <t>Pay 26th</t>
  </si>
  <si>
    <t>Pay 14th nxt mo</t>
  </si>
  <si>
    <t>January</t>
  </si>
  <si>
    <t>Quarterly pmt $1,369.44 due 2/4/13</t>
  </si>
  <si>
    <t>Quarterly pmt $1,369.43 due 5/1/13</t>
  </si>
  <si>
    <t>February</t>
  </si>
  <si>
    <t>Total</t>
  </si>
  <si>
    <t>Macy's</t>
  </si>
  <si>
    <t>May</t>
  </si>
  <si>
    <t>June</t>
  </si>
  <si>
    <t>11/13 pmt</t>
  </si>
  <si>
    <t>12/13 pmt</t>
  </si>
  <si>
    <t>March</t>
  </si>
  <si>
    <t>April</t>
  </si>
  <si>
    <t>Quarterly pmt $1,369.43 due 8/1/13</t>
  </si>
  <si>
    <t>health</t>
  </si>
  <si>
    <t>condo FL</t>
  </si>
  <si>
    <t>Mthly</t>
  </si>
  <si>
    <t xml:space="preserve">Annnual </t>
  </si>
  <si>
    <t>Est. future</t>
  </si>
  <si>
    <t>til 10/17 7.28</t>
  </si>
  <si>
    <t>Citicards*</t>
  </si>
  <si>
    <t>GE Capital CareCredit**</t>
  </si>
  <si>
    <t>** GE CareCredit promotion til 9/5/14</t>
  </si>
  <si>
    <t>*  CitiCards promotion til 9/1/14</t>
  </si>
  <si>
    <t>06/14 pmt</t>
  </si>
  <si>
    <t>07/14 pmt</t>
  </si>
  <si>
    <t>08/14 pmt</t>
  </si>
  <si>
    <t>09/14 pmt</t>
  </si>
  <si>
    <t>-</t>
  </si>
  <si>
    <t>√</t>
  </si>
  <si>
    <t>As of 12/18/13</t>
  </si>
  <si>
    <t>AMEX</t>
  </si>
  <si>
    <t>Extra 12/13</t>
  </si>
  <si>
    <t>10/14 pmt</t>
  </si>
  <si>
    <t>Quarterly pmt $1,405.01 due 11/1/13</t>
  </si>
  <si>
    <t>Quarterly pmt $1,422.86 due 2/3/14</t>
  </si>
  <si>
    <t>Quarterly pmt $1,422.86 due 5/1/14</t>
  </si>
  <si>
    <t xml:space="preserve">Total </t>
  </si>
  <si>
    <t>Cash Rewards</t>
  </si>
  <si>
    <t>Income</t>
  </si>
  <si>
    <t>BoA Cash Rewards</t>
  </si>
  <si>
    <t>11/14 pmt</t>
  </si>
  <si>
    <t>12/14 pmt</t>
  </si>
  <si>
    <t>As of 5/20/14</t>
  </si>
  <si>
    <t>CitiCards/CHASE</t>
  </si>
  <si>
    <t>Chase Slate</t>
  </si>
  <si>
    <t>Quarterly pmt $1,449.28 due 8/4/14</t>
  </si>
  <si>
    <t>Quarterly pmt $1,449.28 due 11/3/14</t>
  </si>
  <si>
    <t>CHASE</t>
  </si>
  <si>
    <t>pin money</t>
  </si>
  <si>
    <t>Condo Fees FL</t>
  </si>
  <si>
    <t>Quarterly pmt $1,370.91 due 2/2/15  v</t>
  </si>
  <si>
    <t>Quarterly pmt $1,370.91 due 5/1/15  v</t>
  </si>
  <si>
    <t>7/8/15 Bal</t>
  </si>
  <si>
    <t>*</t>
  </si>
  <si>
    <t>Balance</t>
  </si>
  <si>
    <t>Interest</t>
  </si>
  <si>
    <t>Stmt date</t>
  </si>
  <si>
    <t>v</t>
  </si>
  <si>
    <t>Quarterly pmt $1,449.28 due 8/3/15over paid $3.93 v</t>
  </si>
  <si>
    <t>Quarterly pmt $1,441.42 due 11/2/15</t>
  </si>
  <si>
    <t>Verizon Wireless 11/18</t>
  </si>
  <si>
    <t>Comcast 11/17</t>
  </si>
  <si>
    <t>FPL 12/31</t>
  </si>
  <si>
    <t>AMEX-Delta 1/1</t>
  </si>
  <si>
    <t>Macys 1/2</t>
  </si>
  <si>
    <t>RMLD 12/28</t>
  </si>
  <si>
    <t>Safety Insurance autos 12/28</t>
  </si>
  <si>
    <t>Safety Insurance home 12/17</t>
  </si>
  <si>
    <t>Verizon 12/22</t>
  </si>
  <si>
    <t>state pmt 5.15%</t>
  </si>
  <si>
    <t>fed pmt 15%</t>
  </si>
  <si>
    <t>Net</t>
  </si>
  <si>
    <t>FL a/c</t>
  </si>
  <si>
    <t>Auto repair</t>
  </si>
  <si>
    <t>Fidelity 1/5/16 Draw</t>
  </si>
  <si>
    <t>Amt needed for bills thru 6/30</t>
  </si>
  <si>
    <t>Quarterly pmt $1,336.48 due 2/1/16  v</t>
  </si>
  <si>
    <t>Quarterly pmt $1,336.48 due 5/2/16  v</t>
  </si>
  <si>
    <t>Quarterly pmt $1,336.48 due 8/1/16 ?</t>
  </si>
  <si>
    <t>March√</t>
  </si>
  <si>
    <t>RMLD 10/24</t>
  </si>
  <si>
    <t>Safety Insurance home 10/17</t>
  </si>
  <si>
    <t>BCBS Medex</t>
  </si>
  <si>
    <t>Comcast 10/17</t>
  </si>
  <si>
    <t>FPL 11/2</t>
  </si>
  <si>
    <t>Verizon 10/22</t>
  </si>
  <si>
    <t>Verizon Wireless 10/30</t>
  </si>
  <si>
    <t>SBLI 2/2017</t>
  </si>
  <si>
    <t>Quarterly pmt $1,425.68 due 11/1/16 ?</t>
  </si>
  <si>
    <t>CapitalOne (Jordans)</t>
  </si>
  <si>
    <t>Synchrony Bank (Lenscrafter)</t>
  </si>
  <si>
    <t>MW SS</t>
  </si>
  <si>
    <t>WP Dep</t>
  </si>
  <si>
    <t>MW - Egan</t>
  </si>
  <si>
    <t>Expenses</t>
  </si>
  <si>
    <t>Other expenses</t>
  </si>
  <si>
    <t>Total Expenses</t>
  </si>
  <si>
    <t>Capital One (Jordans)</t>
  </si>
  <si>
    <t>Condo Insurance FL (Anchor)</t>
  </si>
  <si>
    <t>Fidelity 1/11/17 Draw</t>
  </si>
  <si>
    <t>Town of Reading (water,excise tax)</t>
  </si>
  <si>
    <t>Dentist</t>
  </si>
  <si>
    <t>AAA, BCBS</t>
  </si>
  <si>
    <t>FL Insurance</t>
  </si>
  <si>
    <t>Water Bill</t>
  </si>
  <si>
    <t>Nardone Oil</t>
  </si>
  <si>
    <t>Life Ins, MA RE tax,Excise Tax</t>
  </si>
  <si>
    <t>FL Condo fees thru 8/31</t>
  </si>
  <si>
    <t>Quarterly pmt $1,860.14 due 2/1/17  v</t>
  </si>
  <si>
    <t>Other Income (Fidelity)/IRS 3/22</t>
  </si>
  <si>
    <t>Fidelity 5/19/17 Draw</t>
  </si>
  <si>
    <t>Fed pmt 20%</t>
  </si>
  <si>
    <t>Quarterly pmt $1,860.14 due 5/1/17  v</t>
  </si>
  <si>
    <t>Fidelity 7/26/17 Draw</t>
  </si>
  <si>
    <t>Fed pmt 15%</t>
  </si>
  <si>
    <t xml:space="preserve">JetBlue 6578/Lund 1000/Cash </t>
  </si>
  <si>
    <t>Rewards 800/Bal for FL fees &amp; taxes</t>
  </si>
  <si>
    <t>Devaney Oil</t>
  </si>
  <si>
    <t>Quarterly pmt $1597.34 due 8/1/17  v</t>
  </si>
  <si>
    <t>AMEX-Delta 10/1</t>
  </si>
  <si>
    <t>BestBuy 10/4</t>
  </si>
  <si>
    <t>FPL 10/2</t>
  </si>
  <si>
    <t>JetBlue 10/2</t>
  </si>
  <si>
    <t>SBLI 2/2018</t>
  </si>
  <si>
    <t>Verizon Wireless 9/29</t>
  </si>
  <si>
    <t>Synchrony Bank (Lenscrafter/care card) 9/28</t>
  </si>
  <si>
    <t>Comcast 12/16</t>
  </si>
  <si>
    <t>Quarterly pmt $1,597.34 due 11/1/17 v</t>
  </si>
  <si>
    <t>RMLD 12/26</t>
  </si>
  <si>
    <t>Fidelity 10/3/17 Draw</t>
  </si>
  <si>
    <t>State pmt 5.15%</t>
  </si>
  <si>
    <t>Fidelity 12/19/17 Draw</t>
  </si>
  <si>
    <t>Fed pmt 17%</t>
  </si>
  <si>
    <t>Jan Bills 1800</t>
  </si>
  <si>
    <t>JetBlue2700,Cash Rewards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</si>
</sst>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2" fontId="0" fillId="0" borderId="0" xfId="0" applyNumberFormat="1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16" fontId="0" fillId="0" borderId="0" xfId="0" applyNumberFormat="1"/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0" applyNumberFormat="1" applyBorder="1" applyAlignment="1">
      <alignment horizontal="right"/>
    </xf>
    <xf numFmtId="43" fontId="2" fillId="0" borderId="0" xfId="1" applyFont="1"/>
    <xf numFmtId="43" fontId="0" fillId="0" borderId="0" xfId="0" applyNumberFormat="1" applyAlignment="1"/>
    <xf numFmtId="43" fontId="1" fillId="0" borderId="0" xfId="1" applyFont="1"/>
    <xf numFmtId="43" fontId="1" fillId="0" borderId="0" xfId="1"/>
    <xf numFmtId="43" fontId="1" fillId="0" borderId="1" xfId="1" applyBorder="1"/>
    <xf numFmtId="43" fontId="1" fillId="0" borderId="1" xfId="1" applyFont="1" applyBorder="1"/>
    <xf numFmtId="2" fontId="0" fillId="0" borderId="0" xfId="0" applyNumberFormat="1" applyAlignment="1"/>
    <xf numFmtId="2" fontId="4" fillId="0" borderId="0" xfId="0" applyNumberFormat="1" applyFont="1" applyAlignment="1"/>
    <xf numFmtId="43" fontId="0" fillId="0" borderId="0" xfId="0" applyNumberFormat="1" applyBorder="1" applyAlignment="1"/>
    <xf numFmtId="43" fontId="4" fillId="0" borderId="0" xfId="1" applyFont="1"/>
    <xf numFmtId="14" fontId="0" fillId="0" borderId="0" xfId="0" applyNumberFormat="1" applyAlignment="1">
      <alignment horizontal="left"/>
    </xf>
    <xf numFmtId="0" fontId="0" fillId="0" borderId="0" xfId="0" applyBorder="1"/>
    <xf numFmtId="14" fontId="0" fillId="0" borderId="0" xfId="0" applyNumberFormat="1" applyBorder="1"/>
    <xf numFmtId="43" fontId="1" fillId="0" borderId="0" xfId="1" applyBorder="1"/>
    <xf numFmtId="43" fontId="0" fillId="0" borderId="0" xfId="0" applyNumberFormat="1" applyBorder="1"/>
    <xf numFmtId="43" fontId="1" fillId="0" borderId="0" xfId="1" applyFont="1" applyBorder="1"/>
    <xf numFmtId="43" fontId="0" fillId="0" borderId="0" xfId="1" applyFont="1" applyBorder="1"/>
    <xf numFmtId="43" fontId="2" fillId="0" borderId="0" xfId="1" applyFont="1" applyFill="1" applyBorder="1"/>
    <xf numFmtId="43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14" fontId="0" fillId="0" borderId="0" xfId="0" applyNumberFormat="1"/>
    <xf numFmtId="43" fontId="4" fillId="0" borderId="0" xfId="1" applyFont="1" applyBorder="1"/>
    <xf numFmtId="2" fontId="0" fillId="0" borderId="0" xfId="0" applyNumberFormat="1" applyBorder="1" applyAlignment="1">
      <alignment horizontal="right"/>
    </xf>
    <xf numFmtId="43" fontId="2" fillId="0" borderId="0" xfId="1" applyFont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14" fontId="1" fillId="0" borderId="0" xfId="1" applyNumberFormat="1" applyFont="1" applyBorder="1"/>
    <xf numFmtId="2" fontId="4" fillId="0" borderId="0" xfId="0" applyNumberFormat="1" applyFont="1"/>
    <xf numFmtId="0" fontId="0" fillId="0" borderId="1" xfId="0" applyBorder="1"/>
    <xf numFmtId="2" fontId="0" fillId="0" borderId="1" xfId="0" applyNumberFormat="1" applyBorder="1"/>
    <xf numFmtId="43" fontId="0" fillId="0" borderId="0" xfId="1" applyFont="1" applyFill="1" applyBorder="1"/>
    <xf numFmtId="0" fontId="0" fillId="0" borderId="0" xfId="0" applyBorder="1" applyAlignment="1">
      <alignment horizontal="center"/>
    </xf>
    <xf numFmtId="43" fontId="0" fillId="0" borderId="1" xfId="1" applyFont="1" applyFill="1" applyBorder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0" fillId="0" borderId="1" xfId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0" xfId="1" applyNumberFormat="1" applyFont="1" applyBorder="1" applyAlignment="1">
      <alignment horizontal="right"/>
    </xf>
    <xf numFmtId="44" fontId="0" fillId="0" borderId="0" xfId="2" applyFont="1"/>
    <xf numFmtId="0" fontId="4" fillId="0" borderId="0" xfId="0" applyFont="1"/>
    <xf numFmtId="2" fontId="1" fillId="0" borderId="1" xfId="0" applyNumberFormat="1" applyFont="1" applyBorder="1"/>
    <xf numFmtId="44" fontId="0" fillId="0" borderId="0" xfId="0" applyNumberFormat="1"/>
    <xf numFmtId="2" fontId="2" fillId="0" borderId="0" xfId="0" applyNumberFormat="1" applyFont="1" applyBorder="1"/>
    <xf numFmtId="43" fontId="4" fillId="0" borderId="0" xfId="1" applyNumberFormat="1" applyFont="1" applyFill="1" applyBorder="1"/>
    <xf numFmtId="43" fontId="4" fillId="0" borderId="0" xfId="0" applyNumberFormat="1" applyFont="1"/>
    <xf numFmtId="43" fontId="4" fillId="0" borderId="0" xfId="1" applyNumberFormat="1" applyFont="1"/>
    <xf numFmtId="43" fontId="4" fillId="0" borderId="1" xfId="1" applyNumberFormat="1" applyFont="1" applyFill="1" applyBorder="1"/>
    <xf numFmtId="43" fontId="4" fillId="0" borderId="2" xfId="1" applyNumberFormat="1" applyFont="1" applyBorder="1"/>
    <xf numFmtId="43" fontId="4" fillId="0" borderId="0" xfId="1" applyFont="1" applyFill="1" applyBorder="1"/>
    <xf numFmtId="43" fontId="4" fillId="0" borderId="0" xfId="0" applyNumberFormat="1" applyFont="1" applyBorder="1"/>
    <xf numFmtId="43" fontId="4" fillId="0" borderId="1" xfId="1" applyFont="1" applyBorder="1" applyAlignment="1">
      <alignment horizontal="right"/>
    </xf>
    <xf numFmtId="43" fontId="1" fillId="0" borderId="0" xfId="1" applyAlignment="1">
      <alignment horizontal="right"/>
    </xf>
    <xf numFmtId="43" fontId="4" fillId="0" borderId="0" xfId="1" applyFont="1" applyAlignment="1">
      <alignment horizontal="right"/>
    </xf>
    <xf numFmtId="43" fontId="1" fillId="0" borderId="0" xfId="1" applyFont="1" applyFill="1" applyBorder="1"/>
    <xf numFmtId="43" fontId="1" fillId="0" borderId="1" xfId="1" applyFont="1" applyFill="1" applyBorder="1"/>
    <xf numFmtId="44" fontId="1" fillId="0" borderId="0" xfId="2"/>
    <xf numFmtId="43" fontId="1" fillId="0" borderId="0" xfId="1" applyFont="1" applyAlignment="1">
      <alignment horizontal="right"/>
    </xf>
    <xf numFmtId="2" fontId="1" fillId="0" borderId="0" xfId="1" applyNumberFormat="1" applyFont="1" applyBorder="1" applyAlignment="1">
      <alignment horizontal="right"/>
    </xf>
    <xf numFmtId="43" fontId="1" fillId="0" borderId="1" xfId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Fill="1" applyBorder="1"/>
    <xf numFmtId="43" fontId="4" fillId="0" borderId="0" xfId="1" applyNumberFormat="1" applyFont="1" applyBorder="1"/>
    <xf numFmtId="2" fontId="4" fillId="0" borderId="1" xfId="0" applyNumberFormat="1" applyFont="1" applyBorder="1"/>
    <xf numFmtId="2" fontId="4" fillId="0" borderId="0" xfId="0" applyNumberFormat="1" applyFont="1" applyBorder="1"/>
    <xf numFmtId="44" fontId="2" fillId="0" borderId="0" xfId="0" applyNumberFormat="1" applyFont="1"/>
    <xf numFmtId="14" fontId="0" fillId="0" borderId="0" xfId="0" applyNumberFormat="1" applyFill="1" applyBorder="1"/>
    <xf numFmtId="43" fontId="0" fillId="0" borderId="0" xfId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43" fontId="1" fillId="0" borderId="0" xfId="1" applyNumberFormat="1" applyFont="1" applyFill="1" applyBorder="1"/>
    <xf numFmtId="43" fontId="1" fillId="0" borderId="1" xfId="1" applyNumberFormat="1" applyFont="1" applyFill="1" applyBorder="1"/>
    <xf numFmtId="0" fontId="0" fillId="0" borderId="1" xfId="0" applyFill="1" applyBorder="1" applyAlignment="1">
      <alignment horizontal="center"/>
    </xf>
    <xf numFmtId="2" fontId="0" fillId="0" borderId="0" xfId="0" applyNumberFormat="1" applyFill="1" applyBorder="1"/>
    <xf numFmtId="2" fontId="1" fillId="0" borderId="0" xfId="1" applyNumberFormat="1" applyFont="1" applyFill="1" applyBorder="1" applyAlignment="1">
      <alignment horizontal="right"/>
    </xf>
    <xf numFmtId="44" fontId="1" fillId="0" borderId="0" xfId="2" applyFont="1"/>
    <xf numFmtId="44" fontId="1" fillId="0" borderId="0" xfId="2" applyFont="1" applyBorder="1"/>
    <xf numFmtId="44" fontId="1" fillId="0" borderId="0" xfId="2" applyFont="1" applyFill="1" applyBorder="1"/>
    <xf numFmtId="44" fontId="1" fillId="0" borderId="1" xfId="2" applyFont="1" applyFill="1" applyBorder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/>
    <xf numFmtId="2" fontId="7" fillId="0" borderId="0" xfId="0" applyNumberFormat="1" applyFont="1" applyBorder="1" applyAlignment="1"/>
    <xf numFmtId="43" fontId="6" fillId="0" borderId="0" xfId="1" applyNumberFormat="1" applyFont="1" applyFill="1" applyBorder="1"/>
    <xf numFmtId="2" fontId="6" fillId="0" borderId="1" xfId="0" applyNumberFormat="1" applyFont="1" applyBorder="1" applyAlignment="1"/>
    <xf numFmtId="43" fontId="6" fillId="0" borderId="1" xfId="1" applyNumberFormat="1" applyFont="1" applyFill="1" applyBorder="1"/>
    <xf numFmtId="0" fontId="5" fillId="0" borderId="0" xfId="0" applyFont="1" applyBorder="1" applyAlignment="1">
      <alignment horizontal="center"/>
    </xf>
    <xf numFmtId="43" fontId="6" fillId="0" borderId="0" xfId="1" applyFont="1"/>
    <xf numFmtId="43" fontId="6" fillId="0" borderId="0" xfId="1" applyFont="1" applyBorder="1"/>
    <xf numFmtId="43" fontId="6" fillId="0" borderId="0" xfId="1" applyFont="1" applyFill="1" applyBorder="1"/>
    <xf numFmtId="43" fontId="5" fillId="0" borderId="0" xfId="1" applyFont="1"/>
    <xf numFmtId="43" fontId="5" fillId="0" borderId="0" xfId="1" applyNumberFormat="1" applyFont="1" applyFill="1" applyBorder="1"/>
    <xf numFmtId="43" fontId="5" fillId="0" borderId="0" xfId="1" applyFont="1" applyFill="1" applyBorder="1"/>
    <xf numFmtId="43" fontId="6" fillId="0" borderId="0" xfId="1" applyNumberFormat="1" applyFont="1" applyBorder="1"/>
    <xf numFmtId="43" fontId="6" fillId="0" borderId="1" xfId="1" applyFont="1" applyBorder="1"/>
    <xf numFmtId="44" fontId="6" fillId="0" borderId="0" xfId="2" applyFont="1"/>
    <xf numFmtId="43" fontId="6" fillId="0" borderId="0" xfId="1" applyFont="1" applyAlignment="1">
      <alignment horizontal="right"/>
    </xf>
    <xf numFmtId="2" fontId="6" fillId="0" borderId="0" xfId="1" applyNumberFormat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2" fontId="5" fillId="0" borderId="0" xfId="0" applyNumberFormat="1" applyFont="1" applyBorder="1"/>
    <xf numFmtId="43" fontId="6" fillId="0" borderId="0" xfId="0" applyNumberFormat="1" applyFont="1" applyBorder="1"/>
    <xf numFmtId="2" fontId="6" fillId="0" borderId="0" xfId="0" applyNumberFormat="1" applyFont="1"/>
    <xf numFmtId="43" fontId="6" fillId="0" borderId="0" xfId="0" applyNumberFormat="1" applyFont="1"/>
    <xf numFmtId="44" fontId="6" fillId="0" borderId="0" xfId="0" applyNumberFormat="1" applyFont="1"/>
    <xf numFmtId="0" fontId="5" fillId="0" borderId="0" xfId="0" applyFont="1" applyBorder="1"/>
    <xf numFmtId="2" fontId="6" fillId="0" borderId="0" xfId="0" applyNumberFormat="1" applyFont="1" applyBorder="1"/>
    <xf numFmtId="44" fontId="5" fillId="0" borderId="0" xfId="0" applyNumberFormat="1" applyFont="1"/>
    <xf numFmtId="8" fontId="6" fillId="0" borderId="0" xfId="0" applyNumberFormat="1" applyFont="1"/>
    <xf numFmtId="4" fontId="6" fillId="0" borderId="0" xfId="0" applyNumberFormat="1" applyFont="1" applyAlignment="1"/>
    <xf numFmtId="43" fontId="6" fillId="0" borderId="0" xfId="1" applyFont="1" applyAlignment="1"/>
    <xf numFmtId="43" fontId="6" fillId="0" borderId="1" xfId="1" applyFont="1" applyBorder="1" applyAlignment="1"/>
    <xf numFmtId="4" fontId="6" fillId="0" borderId="0" xfId="0" applyNumberFormat="1" applyFont="1"/>
    <xf numFmtId="0" fontId="6" fillId="0" borderId="3" xfId="0" applyFont="1" applyBorder="1"/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2" fontId="8" fillId="0" borderId="0" xfId="0" applyNumberFormat="1" applyFont="1" applyBorder="1" applyAlignment="1"/>
    <xf numFmtId="2" fontId="5" fillId="0" borderId="0" xfId="0" applyNumberFormat="1" applyFont="1" applyBorder="1" applyAlignment="1"/>
    <xf numFmtId="2" fontId="5" fillId="0" borderId="1" xfId="0" applyNumberFormat="1" applyFont="1" applyBorder="1" applyAlignment="1"/>
    <xf numFmtId="44" fontId="5" fillId="0" borderId="0" xfId="2" applyFont="1"/>
    <xf numFmtId="43" fontId="5" fillId="0" borderId="0" xfId="1" applyFont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" xfId="0" applyNumberFormat="1" applyFont="1" applyBorder="1"/>
    <xf numFmtId="2" fontId="5" fillId="0" borderId="0" xfId="0" applyNumberFormat="1" applyFont="1"/>
    <xf numFmtId="43" fontId="5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workbookViewId="0">
      <selection activeCell="H11" sqref="H11"/>
    </sheetView>
  </sheetViews>
  <sheetFormatPr defaultRowHeight="12.7" x14ac:dyDescent="0.4"/>
  <cols>
    <col min="1" max="1" width="12.1171875" customWidth="1"/>
    <col min="2" max="2" width="11.5859375" customWidth="1"/>
    <col min="3" max="3" width="14.1171875" customWidth="1"/>
    <col min="4" max="4" width="2.41015625" customWidth="1"/>
    <col min="5" max="6" width="10.5859375" customWidth="1"/>
    <col min="7" max="7" width="15.234375" customWidth="1"/>
    <col min="8" max="8" width="11.1171875" customWidth="1"/>
  </cols>
  <sheetData>
    <row r="1" spans="1:10" x14ac:dyDescent="0.4">
      <c r="B1" t="s">
        <v>97</v>
      </c>
      <c r="C1" s="32" t="s">
        <v>37</v>
      </c>
      <c r="E1" s="31" t="s">
        <v>95</v>
      </c>
      <c r="F1" s="31" t="s">
        <v>96</v>
      </c>
      <c r="G1" s="31"/>
      <c r="H1" s="31"/>
    </row>
    <row r="2" spans="1:10" x14ac:dyDescent="0.4">
      <c r="A2" s="22"/>
      <c r="B2" s="22"/>
      <c r="C2" s="22"/>
      <c r="D2" s="22"/>
      <c r="E2" s="22"/>
      <c r="F2" s="22"/>
      <c r="G2" s="22"/>
      <c r="H2" s="22"/>
    </row>
    <row r="3" spans="1:10" x14ac:dyDescent="0.4">
      <c r="A3" s="23" t="s">
        <v>93</v>
      </c>
      <c r="B3" s="23"/>
      <c r="C3" s="26">
        <v>11730.41</v>
      </c>
      <c r="D3" s="30" t="s">
        <v>98</v>
      </c>
      <c r="E3" s="30"/>
      <c r="F3" s="23"/>
      <c r="G3" s="30"/>
      <c r="H3" s="25"/>
    </row>
    <row r="4" spans="1:10" x14ac:dyDescent="0.4">
      <c r="A4" s="23"/>
      <c r="B4" s="23"/>
      <c r="C4" s="26"/>
      <c r="D4" s="24"/>
      <c r="E4" s="24"/>
      <c r="F4" s="26"/>
      <c r="G4" s="24"/>
      <c r="H4" s="25"/>
    </row>
    <row r="5" spans="1:10" x14ac:dyDescent="0.4">
      <c r="A5" s="23">
        <v>42207</v>
      </c>
      <c r="B5" s="23">
        <v>42217</v>
      </c>
      <c r="C5" s="24">
        <v>-4500</v>
      </c>
      <c r="D5" s="26" t="s">
        <v>98</v>
      </c>
      <c r="E5" s="24">
        <f>C3+C5</f>
        <v>7230.41</v>
      </c>
      <c r="F5" s="38"/>
      <c r="G5" s="24"/>
      <c r="H5" s="25"/>
      <c r="I5" s="28"/>
    </row>
    <row r="6" spans="1:10" x14ac:dyDescent="0.4">
      <c r="A6" s="23"/>
      <c r="B6" s="23">
        <v>42248</v>
      </c>
      <c r="C6" s="26">
        <v>-500</v>
      </c>
      <c r="D6" s="26" t="s">
        <v>94</v>
      </c>
      <c r="E6" s="24">
        <f t="shared" ref="E6:E12" si="0">E5+C6</f>
        <v>6730.41</v>
      </c>
      <c r="F6" s="24">
        <f t="shared" ref="F6:F12" si="1">E6*0.010431034</f>
        <v>70.205135543940003</v>
      </c>
      <c r="G6" s="24"/>
      <c r="H6" s="25"/>
    </row>
    <row r="7" spans="1:10" x14ac:dyDescent="0.4">
      <c r="A7" s="23"/>
      <c r="B7" s="23">
        <v>42278</v>
      </c>
      <c r="C7" s="24">
        <v>-500</v>
      </c>
      <c r="D7" s="24"/>
      <c r="E7" s="24">
        <f t="shared" si="0"/>
        <v>6230.41</v>
      </c>
      <c r="F7" s="24">
        <f t="shared" si="1"/>
        <v>64.989618543939997</v>
      </c>
      <c r="G7" s="24"/>
      <c r="H7" s="25"/>
      <c r="I7" s="2"/>
    </row>
    <row r="8" spans="1:10" x14ac:dyDescent="0.4">
      <c r="A8" s="23"/>
      <c r="B8" s="23">
        <v>42309</v>
      </c>
      <c r="C8" s="24">
        <v>-500</v>
      </c>
      <c r="D8" s="26"/>
      <c r="E8" s="24">
        <f t="shared" si="0"/>
        <v>5730.41</v>
      </c>
      <c r="F8" s="24">
        <f t="shared" si="1"/>
        <v>59.774101543939999</v>
      </c>
      <c r="G8" s="22"/>
      <c r="H8" s="22"/>
    </row>
    <row r="9" spans="1:10" x14ac:dyDescent="0.4">
      <c r="A9" s="23"/>
      <c r="B9" s="23">
        <v>42339</v>
      </c>
      <c r="C9" s="24">
        <v>-500</v>
      </c>
      <c r="D9" s="26"/>
      <c r="E9" s="24">
        <f t="shared" si="0"/>
        <v>5230.41</v>
      </c>
      <c r="F9" s="24">
        <f t="shared" si="1"/>
        <v>54.55858454394</v>
      </c>
      <c r="G9" s="22"/>
      <c r="H9" s="22"/>
      <c r="I9" s="30"/>
      <c r="J9" s="30"/>
    </row>
    <row r="10" spans="1:10" x14ac:dyDescent="0.4">
      <c r="A10" s="23"/>
      <c r="B10" s="23">
        <v>42370</v>
      </c>
      <c r="C10" s="24">
        <v>-500</v>
      </c>
      <c r="D10" s="35"/>
      <c r="E10" s="24">
        <f t="shared" si="0"/>
        <v>4730.41</v>
      </c>
      <c r="F10" s="24">
        <f t="shared" si="1"/>
        <v>49.343067543940002</v>
      </c>
      <c r="G10" s="22"/>
      <c r="H10" s="25">
        <f>C3*0.04</f>
        <v>469.21640000000002</v>
      </c>
      <c r="I10" s="26"/>
      <c r="J10" s="24"/>
    </row>
    <row r="11" spans="1:10" x14ac:dyDescent="0.4">
      <c r="A11" s="23"/>
      <c r="B11" s="23">
        <v>42401</v>
      </c>
      <c r="C11" s="24">
        <v>-500</v>
      </c>
      <c r="D11" s="24"/>
      <c r="E11" s="24">
        <f t="shared" si="0"/>
        <v>4230.41</v>
      </c>
      <c r="F11" s="24">
        <f t="shared" si="1"/>
        <v>44.127550543940004</v>
      </c>
      <c r="G11" s="22"/>
      <c r="H11" s="22"/>
      <c r="I11" s="26"/>
      <c r="J11" s="24"/>
    </row>
    <row r="12" spans="1:10" x14ac:dyDescent="0.4">
      <c r="A12" s="23"/>
      <c r="B12" s="23">
        <v>42430</v>
      </c>
      <c r="C12" s="24">
        <v>-500</v>
      </c>
      <c r="D12" s="24"/>
      <c r="E12" s="24">
        <f t="shared" si="0"/>
        <v>3730.41</v>
      </c>
      <c r="F12" s="24">
        <f t="shared" si="1"/>
        <v>38.912033543939998</v>
      </c>
      <c r="G12" s="36"/>
      <c r="H12" s="22"/>
      <c r="I12" s="22"/>
      <c r="J12" s="22"/>
    </row>
    <row r="13" spans="1:10" x14ac:dyDescent="0.4">
      <c r="A13" s="78"/>
      <c r="B13" s="78"/>
      <c r="C13" s="10"/>
      <c r="D13" s="24"/>
      <c r="E13" s="22"/>
      <c r="F13" s="22"/>
      <c r="G13" s="22"/>
      <c r="H13" s="22"/>
    </row>
    <row r="14" spans="1:10" x14ac:dyDescent="0.4">
      <c r="A14" s="22"/>
      <c r="B14" s="22"/>
      <c r="C14" s="10"/>
      <c r="D14" s="24"/>
      <c r="E14" s="22"/>
      <c r="F14" s="22"/>
      <c r="G14" s="22"/>
      <c r="H14" s="22"/>
    </row>
    <row r="15" spans="1:10" x14ac:dyDescent="0.4">
      <c r="A15" s="22"/>
      <c r="B15" s="22"/>
      <c r="C15" s="34"/>
      <c r="D15" s="24"/>
      <c r="E15" s="22"/>
      <c r="F15" s="22"/>
      <c r="G15" s="22"/>
      <c r="H15" s="22"/>
    </row>
    <row r="16" spans="1:10" x14ac:dyDescent="0.4">
      <c r="A16" s="22"/>
      <c r="B16" s="22"/>
      <c r="C16" s="34"/>
      <c r="D16" s="24"/>
      <c r="E16" s="22"/>
      <c r="F16" s="22"/>
      <c r="G16" s="22"/>
      <c r="H16" s="22"/>
    </row>
    <row r="17" spans="1:8" x14ac:dyDescent="0.4">
      <c r="A17" s="22" t="s">
        <v>45</v>
      </c>
      <c r="B17" s="22"/>
      <c r="C17" s="79">
        <f>SUM(C3:C16)</f>
        <v>3730.41</v>
      </c>
      <c r="D17" s="24"/>
      <c r="E17" s="22"/>
      <c r="F17" s="22"/>
      <c r="G17" s="22"/>
      <c r="H17" s="22"/>
    </row>
    <row r="18" spans="1:8" x14ac:dyDescent="0.4">
      <c r="A18" s="22"/>
      <c r="B18" s="22"/>
      <c r="C18" s="10"/>
      <c r="D18" s="24"/>
      <c r="E18" s="22"/>
      <c r="F18" s="22"/>
      <c r="G18" s="22"/>
      <c r="H18" s="22"/>
    </row>
    <row r="19" spans="1:8" x14ac:dyDescent="0.4">
      <c r="A19" s="22"/>
      <c r="B19" s="22"/>
      <c r="C19" s="10"/>
      <c r="D19" s="24"/>
      <c r="E19" s="22"/>
      <c r="F19" s="22"/>
      <c r="G19" s="22"/>
      <c r="H19" s="22"/>
    </row>
    <row r="20" spans="1:8" x14ac:dyDescent="0.4">
      <c r="A20" s="22"/>
      <c r="B20" s="22"/>
      <c r="C20" s="10"/>
      <c r="D20" s="24"/>
      <c r="E20" s="22"/>
      <c r="F20" s="25"/>
      <c r="G20" s="22"/>
      <c r="H20" s="22"/>
    </row>
    <row r="21" spans="1:8" x14ac:dyDescent="0.4">
      <c r="A21" s="22"/>
      <c r="B21" s="22"/>
      <c r="C21" s="37"/>
      <c r="D21" s="22"/>
      <c r="E21" s="22"/>
      <c r="F21" s="22"/>
      <c r="G21" s="22"/>
      <c r="H21" s="22"/>
    </row>
    <row r="22" spans="1:8" x14ac:dyDescent="0.4">
      <c r="A22" s="22"/>
      <c r="B22" s="22"/>
      <c r="C22" s="10"/>
      <c r="D22" s="22"/>
      <c r="E22" s="22"/>
      <c r="F22" s="22"/>
      <c r="G22" s="22"/>
      <c r="H22" s="22"/>
    </row>
    <row r="23" spans="1:8" x14ac:dyDescent="0.4">
      <c r="A23" s="22"/>
      <c r="B23" s="22"/>
      <c r="C23" s="23"/>
      <c r="D23" s="22"/>
      <c r="E23" s="22"/>
      <c r="F23" s="25"/>
      <c r="G23" s="22"/>
      <c r="H23" s="22"/>
    </row>
    <row r="24" spans="1:8" x14ac:dyDescent="0.4">
      <c r="A24" s="22"/>
      <c r="B24" s="22"/>
      <c r="C24" s="24"/>
      <c r="D24" s="22"/>
      <c r="E24" s="22"/>
      <c r="F24" s="22"/>
      <c r="G24" s="22"/>
      <c r="H24" s="22"/>
    </row>
    <row r="25" spans="1:8" x14ac:dyDescent="0.4">
      <c r="A25" s="22"/>
      <c r="B25" s="22"/>
      <c r="C25" s="24"/>
      <c r="D25" s="22"/>
      <c r="E25" s="22"/>
      <c r="F25" s="22"/>
      <c r="G25" s="22"/>
      <c r="H25" s="22"/>
    </row>
    <row r="26" spans="1:8" x14ac:dyDescent="0.4">
      <c r="A26" s="22"/>
      <c r="B26" s="22"/>
      <c r="C26" s="24"/>
      <c r="D26" s="22"/>
      <c r="E26" s="22"/>
      <c r="F26" s="22"/>
      <c r="G26" s="22"/>
      <c r="H26" s="22"/>
    </row>
    <row r="27" spans="1:8" x14ac:dyDescent="0.4">
      <c r="A27" s="22"/>
      <c r="B27" s="22"/>
      <c r="C27" s="22"/>
      <c r="D27" s="22"/>
      <c r="E27" s="22"/>
      <c r="F27" s="22"/>
      <c r="G27" s="22"/>
      <c r="H27" s="22"/>
    </row>
    <row r="28" spans="1:8" x14ac:dyDescent="0.4">
      <c r="A28" s="22"/>
      <c r="B28" s="22"/>
      <c r="C28" s="22"/>
      <c r="D28" s="22"/>
      <c r="E28" s="22"/>
      <c r="F28" s="22"/>
      <c r="G28" s="22"/>
      <c r="H28" s="22"/>
    </row>
    <row r="29" spans="1:8" x14ac:dyDescent="0.4">
      <c r="A29" s="22"/>
      <c r="B29" s="22"/>
      <c r="C29" s="22">
        <f>121/11600</f>
        <v>1.043103448275862E-2</v>
      </c>
      <c r="D29" s="22"/>
      <c r="E29" s="22"/>
      <c r="F29" s="22"/>
      <c r="G29" s="22"/>
      <c r="H29" s="22"/>
    </row>
    <row r="30" spans="1:8" x14ac:dyDescent="0.4">
      <c r="A30" s="22"/>
      <c r="B30" s="22"/>
      <c r="C30" s="25"/>
      <c r="D30" s="22"/>
    </row>
    <row r="31" spans="1:8" x14ac:dyDescent="0.4">
      <c r="A31" s="22"/>
      <c r="B31" s="22"/>
      <c r="C31" s="24"/>
      <c r="D31" s="22"/>
    </row>
    <row r="32" spans="1:8" x14ac:dyDescent="0.4">
      <c r="A32" s="22"/>
      <c r="B32" s="22"/>
      <c r="C32" s="25"/>
      <c r="D32" s="22"/>
    </row>
    <row r="33" spans="1:4" x14ac:dyDescent="0.4">
      <c r="A33" s="22"/>
      <c r="B33" s="22"/>
      <c r="C33" s="22"/>
      <c r="D33" s="22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2"/>
  <sheetViews>
    <sheetView workbookViewId="0">
      <pane xSplit="1" topLeftCell="I1" activePane="topRight" state="frozen"/>
      <selection pane="topRight" activeCell="A17" sqref="A17:IV17"/>
    </sheetView>
  </sheetViews>
  <sheetFormatPr defaultRowHeight="12.7" x14ac:dyDescent="0.4"/>
  <cols>
    <col min="1" max="1" width="23.41015625" customWidth="1"/>
    <col min="2" max="3" width="0.1171875" hidden="1" customWidth="1"/>
    <col min="4" max="4" width="9.1171875" hidden="1" customWidth="1"/>
    <col min="5" max="5" width="9.5859375" hidden="1" customWidth="1"/>
    <col min="6" max="6" width="9.234375" hidden="1" customWidth="1"/>
    <col min="7" max="7" width="9.1171875" hidden="1" customWidth="1"/>
    <col min="8" max="8" width="9.234375" hidden="1" customWidth="1"/>
    <col min="9" max="9" width="11.1171875" customWidth="1"/>
    <col min="10" max="10" width="10.5859375" customWidth="1"/>
    <col min="11" max="11" width="12" customWidth="1"/>
    <col min="12" max="12" width="10.5859375" customWidth="1"/>
    <col min="13" max="13" width="11.87890625" customWidth="1"/>
    <col min="14" max="14" width="11.1171875" customWidth="1"/>
    <col min="15" max="15" width="11.41015625" customWidth="1"/>
    <col min="16" max="16" width="10.703125" customWidth="1"/>
    <col min="17" max="17" width="11.5859375" customWidth="1"/>
    <col min="18" max="18" width="12.41015625" customWidth="1"/>
    <col min="19" max="19" width="11.1171875" customWidth="1"/>
    <col min="20" max="20" width="10" customWidth="1"/>
    <col min="21" max="21" width="2.703125" customWidth="1"/>
    <col min="22" max="22" width="10.87890625" customWidth="1"/>
    <col min="23" max="23" width="9.234375" customWidth="1"/>
    <col min="24" max="24" width="10.87890625" bestFit="1" customWidth="1"/>
  </cols>
  <sheetData>
    <row r="1" spans="1:23" x14ac:dyDescent="0.4">
      <c r="A1" t="s">
        <v>30</v>
      </c>
    </row>
    <row r="2" spans="1:23" x14ac:dyDescent="0.4">
      <c r="C2" t="s">
        <v>0</v>
      </c>
      <c r="D2" t="s">
        <v>3</v>
      </c>
      <c r="E2" t="s">
        <v>10</v>
      </c>
      <c r="F2" t="s">
        <v>11</v>
      </c>
      <c r="G2" t="s">
        <v>12</v>
      </c>
      <c r="H2" t="s">
        <v>13</v>
      </c>
      <c r="I2" t="s">
        <v>41</v>
      </c>
      <c r="J2" t="s">
        <v>44</v>
      </c>
      <c r="K2" s="31" t="s">
        <v>51</v>
      </c>
      <c r="L2" s="31" t="s">
        <v>52</v>
      </c>
      <c r="M2" s="31" t="s">
        <v>47</v>
      </c>
      <c r="N2" s="31" t="s">
        <v>48</v>
      </c>
      <c r="O2" s="31" t="s">
        <v>0</v>
      </c>
      <c r="P2" s="31" t="s">
        <v>3</v>
      </c>
      <c r="Q2" s="31" t="s">
        <v>10</v>
      </c>
      <c r="R2" s="31" t="s">
        <v>11</v>
      </c>
      <c r="S2" s="31" t="s">
        <v>12</v>
      </c>
      <c r="T2" s="31" t="s">
        <v>13</v>
      </c>
      <c r="U2" s="31"/>
      <c r="V2" t="s">
        <v>58</v>
      </c>
    </row>
    <row r="3" spans="1:23" x14ac:dyDescent="0.4">
      <c r="A3" t="s">
        <v>16</v>
      </c>
      <c r="B3" s="3"/>
      <c r="C3" s="3">
        <v>50</v>
      </c>
      <c r="D3" s="3">
        <v>50</v>
      </c>
      <c r="E3" s="3">
        <v>50</v>
      </c>
      <c r="F3" s="3">
        <v>50</v>
      </c>
      <c r="G3" s="3">
        <v>50</v>
      </c>
      <c r="H3" s="3">
        <v>50</v>
      </c>
      <c r="I3" s="3">
        <f>130+530</f>
        <v>660</v>
      </c>
      <c r="J3" s="27">
        <v>365</v>
      </c>
      <c r="K3" s="42">
        <v>300</v>
      </c>
      <c r="L3" s="42">
        <v>300</v>
      </c>
      <c r="M3" s="42">
        <v>200</v>
      </c>
      <c r="N3" s="42">
        <v>200</v>
      </c>
      <c r="O3" s="42">
        <v>200</v>
      </c>
      <c r="P3" s="42" t="s">
        <v>68</v>
      </c>
      <c r="Q3" s="55">
        <v>35</v>
      </c>
      <c r="R3" s="42">
        <v>35</v>
      </c>
      <c r="S3" s="42">
        <v>50</v>
      </c>
      <c r="T3" s="42">
        <v>450</v>
      </c>
      <c r="U3" s="42" t="s">
        <v>69</v>
      </c>
      <c r="V3" s="42"/>
      <c r="W3" t="s">
        <v>55</v>
      </c>
    </row>
    <row r="4" spans="1:23" ht="12" customHeight="1" x14ac:dyDescent="0.4">
      <c r="A4" t="s">
        <v>17</v>
      </c>
      <c r="B4" s="3"/>
      <c r="C4" s="3">
        <v>35</v>
      </c>
      <c r="D4" s="3">
        <v>35</v>
      </c>
      <c r="E4" s="3">
        <v>20</v>
      </c>
      <c r="F4" s="3">
        <v>30</v>
      </c>
      <c r="G4" s="3">
        <v>30</v>
      </c>
      <c r="H4" s="3">
        <v>50</v>
      </c>
      <c r="I4" s="3">
        <v>66</v>
      </c>
      <c r="J4" s="27">
        <v>20.7</v>
      </c>
      <c r="K4" s="42">
        <v>35</v>
      </c>
      <c r="L4" s="42">
        <v>35</v>
      </c>
      <c r="M4" s="42">
        <v>35</v>
      </c>
      <c r="N4" s="42">
        <v>75</v>
      </c>
      <c r="O4" s="42">
        <v>75</v>
      </c>
      <c r="P4" s="42">
        <v>0</v>
      </c>
      <c r="Q4" s="55">
        <v>50</v>
      </c>
      <c r="R4" s="42">
        <v>50</v>
      </c>
      <c r="S4" s="42">
        <v>38.979999999999997</v>
      </c>
      <c r="T4" s="42">
        <v>50</v>
      </c>
      <c r="U4" s="42" t="s">
        <v>69</v>
      </c>
      <c r="V4" s="42">
        <v>35</v>
      </c>
    </row>
    <row r="5" spans="1:23" ht="0.75" hidden="1" customHeight="1" x14ac:dyDescent="0.4">
      <c r="A5" t="s">
        <v>18</v>
      </c>
      <c r="B5" s="3" t="s">
        <v>39</v>
      </c>
      <c r="C5" s="3">
        <v>100</v>
      </c>
      <c r="D5" s="3">
        <v>100</v>
      </c>
      <c r="E5" s="3">
        <f>450</f>
        <v>450</v>
      </c>
      <c r="F5" s="3">
        <v>700</v>
      </c>
      <c r="G5" s="3">
        <v>800</v>
      </c>
      <c r="H5" s="3">
        <v>2679.37</v>
      </c>
      <c r="I5" s="3">
        <v>27.06</v>
      </c>
      <c r="J5" s="27">
        <v>0</v>
      </c>
      <c r="Q5" s="56"/>
    </row>
    <row r="6" spans="1:23" ht="14.25" customHeight="1" x14ac:dyDescent="0.4">
      <c r="A6" t="s">
        <v>18</v>
      </c>
      <c r="B6" s="3"/>
      <c r="C6" s="3"/>
      <c r="D6" s="3"/>
      <c r="E6" s="3"/>
      <c r="F6" s="3"/>
      <c r="G6" s="3"/>
      <c r="H6" s="3"/>
      <c r="I6" s="3"/>
      <c r="J6" s="27"/>
      <c r="N6" s="42">
        <v>45</v>
      </c>
      <c r="O6" s="42">
        <v>45</v>
      </c>
      <c r="P6" s="42">
        <v>300</v>
      </c>
      <c r="Q6" s="56">
        <v>300</v>
      </c>
      <c r="R6" s="39">
        <v>300.02999999999997</v>
      </c>
      <c r="S6" s="39">
        <v>305</v>
      </c>
      <c r="T6" s="39">
        <v>800</v>
      </c>
      <c r="U6" s="42" t="s">
        <v>69</v>
      </c>
    </row>
    <row r="7" spans="1:23" x14ac:dyDescent="0.4">
      <c r="A7" t="s">
        <v>38</v>
      </c>
      <c r="B7" s="3"/>
      <c r="C7" s="3"/>
      <c r="D7" s="3"/>
      <c r="E7" s="3"/>
      <c r="F7" s="3"/>
      <c r="G7" s="3"/>
      <c r="H7" s="3">
        <v>10.48</v>
      </c>
      <c r="I7" s="3">
        <v>36.369999999999997</v>
      </c>
      <c r="J7" s="27">
        <v>36.369999999999997</v>
      </c>
      <c r="K7" s="42">
        <v>36.369999999999997</v>
      </c>
      <c r="L7" s="42">
        <v>36.369999999999997</v>
      </c>
      <c r="M7" s="42">
        <v>17.37</v>
      </c>
      <c r="N7" s="42">
        <v>0</v>
      </c>
      <c r="O7" s="42">
        <v>0</v>
      </c>
      <c r="P7" s="42"/>
      <c r="Q7" s="42" t="s">
        <v>59</v>
      </c>
      <c r="R7" s="42">
        <v>6.4</v>
      </c>
      <c r="S7" s="42">
        <v>7.28</v>
      </c>
      <c r="T7" s="60">
        <v>56.13</v>
      </c>
      <c r="U7" s="42" t="s">
        <v>69</v>
      </c>
      <c r="V7" s="42">
        <v>17.37</v>
      </c>
    </row>
    <row r="8" spans="1:23" x14ac:dyDescent="0.4">
      <c r="A8" t="s">
        <v>19</v>
      </c>
      <c r="B8" s="3"/>
      <c r="C8" s="3">
        <v>13.69</v>
      </c>
      <c r="D8" s="3">
        <v>14.84</v>
      </c>
      <c r="E8" s="3">
        <v>12.93</v>
      </c>
      <c r="F8" s="3">
        <v>42.76</v>
      </c>
      <c r="G8" s="3">
        <v>12.6</v>
      </c>
      <c r="H8" s="3">
        <v>22.46</v>
      </c>
      <c r="I8" s="3">
        <v>36.409999999999997</v>
      </c>
      <c r="J8" s="27">
        <v>73.12</v>
      </c>
      <c r="K8" s="42">
        <v>85</v>
      </c>
      <c r="L8" s="42">
        <v>81.900000000000006</v>
      </c>
      <c r="M8" s="42">
        <v>17.13</v>
      </c>
      <c r="N8" s="42">
        <v>16.420000000000002</v>
      </c>
      <c r="O8" s="42">
        <v>31.13</v>
      </c>
      <c r="P8" s="42">
        <v>17.43</v>
      </c>
      <c r="Q8" s="55">
        <v>24.79</v>
      </c>
      <c r="R8" s="42">
        <v>42.72</v>
      </c>
      <c r="S8" s="42">
        <v>19.68</v>
      </c>
      <c r="T8" s="60">
        <v>58.06</v>
      </c>
      <c r="U8" s="42" t="s">
        <v>69</v>
      </c>
      <c r="V8" s="42">
        <v>17.13</v>
      </c>
      <c r="W8" s="2"/>
    </row>
    <row r="9" spans="1:23" x14ac:dyDescent="0.4">
      <c r="A9" t="s">
        <v>20</v>
      </c>
      <c r="B9" s="3"/>
      <c r="C9" s="3">
        <v>253</v>
      </c>
      <c r="D9" s="3">
        <v>261</v>
      </c>
      <c r="E9" s="3">
        <v>261</v>
      </c>
      <c r="F9" s="3">
        <v>261</v>
      </c>
      <c r="G9" s="3">
        <v>261</v>
      </c>
      <c r="H9" s="3">
        <v>261</v>
      </c>
      <c r="I9" s="3">
        <v>261</v>
      </c>
      <c r="J9" s="27">
        <v>261</v>
      </c>
      <c r="K9" s="42">
        <v>261</v>
      </c>
      <c r="L9" s="42">
        <v>261</v>
      </c>
      <c r="M9" s="42">
        <v>261</v>
      </c>
      <c r="N9" s="42">
        <v>261</v>
      </c>
      <c r="O9" s="42">
        <v>261</v>
      </c>
      <c r="P9" s="42">
        <v>270</v>
      </c>
      <c r="Q9" s="55">
        <v>270</v>
      </c>
      <c r="R9" s="42">
        <v>270</v>
      </c>
      <c r="S9" s="42">
        <v>270</v>
      </c>
      <c r="T9" s="42">
        <v>270</v>
      </c>
      <c r="U9" s="42" t="s">
        <v>69</v>
      </c>
      <c r="V9" s="42">
        <v>261</v>
      </c>
    </row>
    <row r="10" spans="1:23" ht="12" customHeight="1" x14ac:dyDescent="0.4">
      <c r="A10" t="s">
        <v>21</v>
      </c>
      <c r="B10" s="3"/>
      <c r="C10" s="3">
        <v>25</v>
      </c>
      <c r="D10" s="3">
        <v>25</v>
      </c>
      <c r="E10" s="3">
        <v>25</v>
      </c>
      <c r="F10" s="3">
        <v>25</v>
      </c>
      <c r="G10" s="3">
        <v>25</v>
      </c>
      <c r="H10" s="3">
        <v>25</v>
      </c>
      <c r="I10" s="3">
        <v>649.48</v>
      </c>
      <c r="J10" s="27">
        <v>50</v>
      </c>
      <c r="K10" s="42">
        <v>400</v>
      </c>
      <c r="L10" s="42">
        <v>400</v>
      </c>
      <c r="M10" s="42">
        <v>400</v>
      </c>
      <c r="N10" s="42">
        <v>400</v>
      </c>
      <c r="O10" s="42">
        <v>408.88</v>
      </c>
      <c r="P10" s="42">
        <v>400</v>
      </c>
      <c r="Q10" s="55">
        <v>400</v>
      </c>
      <c r="R10" s="42">
        <v>400</v>
      </c>
      <c r="S10" s="42">
        <v>400</v>
      </c>
      <c r="T10" s="42">
        <v>400</v>
      </c>
      <c r="U10" s="42" t="s">
        <v>69</v>
      </c>
      <c r="V10" s="42">
        <v>500</v>
      </c>
      <c r="W10" t="s">
        <v>54</v>
      </c>
    </row>
    <row r="11" spans="1:23" ht="0.75" hidden="1" customHeight="1" x14ac:dyDescent="0.4">
      <c r="A11" t="s">
        <v>22</v>
      </c>
      <c r="B11" s="3" t="s">
        <v>39</v>
      </c>
      <c r="C11" s="3">
        <v>650</v>
      </c>
      <c r="D11" s="3">
        <v>650</v>
      </c>
      <c r="E11" s="3">
        <v>50</v>
      </c>
      <c r="F11" s="3">
        <v>50</v>
      </c>
      <c r="G11" s="3">
        <v>50</v>
      </c>
      <c r="H11" s="3">
        <v>50</v>
      </c>
      <c r="I11" s="3">
        <v>245.08</v>
      </c>
      <c r="J11" s="27">
        <v>0</v>
      </c>
      <c r="Q11" s="56"/>
    </row>
    <row r="12" spans="1:23" hidden="1" x14ac:dyDescent="0.4">
      <c r="A12" t="s">
        <v>23</v>
      </c>
      <c r="B12" s="3" t="s">
        <v>40</v>
      </c>
      <c r="C12" s="3">
        <v>50</v>
      </c>
      <c r="D12" s="3">
        <v>50</v>
      </c>
      <c r="E12" s="3">
        <v>50</v>
      </c>
      <c r="F12" s="3">
        <v>50</v>
      </c>
      <c r="G12" s="3">
        <v>50</v>
      </c>
      <c r="H12" s="3">
        <v>50</v>
      </c>
      <c r="I12" s="3">
        <v>328.25</v>
      </c>
      <c r="J12" s="27">
        <v>338</v>
      </c>
      <c r="Q12" s="56"/>
    </row>
    <row r="13" spans="1:23" x14ac:dyDescent="0.4">
      <c r="A13" t="s">
        <v>24</v>
      </c>
      <c r="B13" s="3"/>
      <c r="C13" s="3">
        <v>25</v>
      </c>
      <c r="D13" s="3">
        <v>25</v>
      </c>
      <c r="E13" s="3">
        <v>25</v>
      </c>
      <c r="F13" s="3">
        <v>25</v>
      </c>
      <c r="G13" s="3">
        <v>25</v>
      </c>
      <c r="H13" s="3">
        <v>50</v>
      </c>
      <c r="I13" s="3">
        <v>50</v>
      </c>
      <c r="J13" s="27">
        <v>50</v>
      </c>
      <c r="K13" s="42">
        <v>50</v>
      </c>
      <c r="L13" s="42">
        <v>50</v>
      </c>
      <c r="M13" s="42">
        <v>50</v>
      </c>
      <c r="N13" s="42">
        <v>50</v>
      </c>
      <c r="O13" s="42">
        <v>50</v>
      </c>
      <c r="P13" s="42">
        <v>50</v>
      </c>
      <c r="Q13" s="55">
        <v>50</v>
      </c>
      <c r="R13" s="42">
        <v>50</v>
      </c>
      <c r="S13" s="42">
        <v>55.06</v>
      </c>
      <c r="T13" s="42">
        <v>60</v>
      </c>
      <c r="U13" s="42" t="s">
        <v>69</v>
      </c>
      <c r="V13" s="42">
        <v>50</v>
      </c>
    </row>
    <row r="14" spans="1:23" x14ac:dyDescent="0.4">
      <c r="A14" t="s">
        <v>25</v>
      </c>
      <c r="B14" s="3"/>
      <c r="C14" s="3">
        <v>114.27</v>
      </c>
      <c r="D14" s="3">
        <v>117</v>
      </c>
      <c r="E14" s="3">
        <v>166.73</v>
      </c>
      <c r="F14" s="3">
        <v>94.16</v>
      </c>
      <c r="G14" s="3">
        <v>101.88</v>
      </c>
      <c r="H14" s="3">
        <v>133</v>
      </c>
      <c r="I14" s="3">
        <v>119.84</v>
      </c>
      <c r="J14" s="27">
        <v>90.99</v>
      </c>
      <c r="K14" s="42">
        <v>43.54</v>
      </c>
      <c r="L14" s="42">
        <v>53.74</v>
      </c>
      <c r="M14" s="42">
        <v>102.58</v>
      </c>
      <c r="N14" s="42">
        <v>120.41</v>
      </c>
      <c r="O14" s="42">
        <v>109.43</v>
      </c>
      <c r="P14" s="42">
        <v>162.59</v>
      </c>
      <c r="Q14" s="55">
        <v>128.97999999999999</v>
      </c>
      <c r="R14" s="42">
        <v>107.79</v>
      </c>
      <c r="S14" s="42">
        <v>119.51</v>
      </c>
      <c r="T14" s="60">
        <v>80.680000000000007</v>
      </c>
      <c r="U14" s="42" t="s">
        <v>69</v>
      </c>
      <c r="V14" s="42">
        <v>102.58</v>
      </c>
    </row>
    <row r="15" spans="1:23" x14ac:dyDescent="0.4">
      <c r="A15" t="s">
        <v>36</v>
      </c>
      <c r="B15" s="3"/>
      <c r="C15" s="3">
        <v>130</v>
      </c>
      <c r="D15" s="3">
        <v>125</v>
      </c>
      <c r="E15" s="3">
        <v>125</v>
      </c>
      <c r="F15" s="3">
        <v>125</v>
      </c>
      <c r="G15" s="3">
        <v>125</v>
      </c>
      <c r="H15" s="3">
        <v>125</v>
      </c>
      <c r="I15" s="3">
        <v>125</v>
      </c>
      <c r="J15" s="27">
        <v>125</v>
      </c>
      <c r="K15" s="42">
        <v>141</v>
      </c>
      <c r="L15" s="42">
        <v>6</v>
      </c>
      <c r="M15" s="42">
        <v>0</v>
      </c>
      <c r="N15" s="42"/>
      <c r="O15" s="42">
        <v>125</v>
      </c>
      <c r="P15" s="42">
        <v>125</v>
      </c>
      <c r="Q15" s="55">
        <v>125</v>
      </c>
      <c r="R15" s="42">
        <v>125</v>
      </c>
      <c r="S15" s="42">
        <v>125</v>
      </c>
      <c r="T15" s="42">
        <v>125</v>
      </c>
      <c r="U15" s="42" t="s">
        <v>69</v>
      </c>
      <c r="V15" s="42">
        <v>125</v>
      </c>
    </row>
    <row r="16" spans="1:23" x14ac:dyDescent="0.4">
      <c r="A16" t="s">
        <v>35</v>
      </c>
      <c r="B16" s="3"/>
      <c r="C16" s="3"/>
      <c r="D16" s="3"/>
      <c r="E16" s="3"/>
      <c r="F16" s="3">
        <v>50</v>
      </c>
      <c r="G16" s="3">
        <v>50</v>
      </c>
      <c r="H16" s="3">
        <v>50</v>
      </c>
      <c r="I16" s="3">
        <v>66</v>
      </c>
      <c r="J16" s="27"/>
      <c r="L16" s="3"/>
      <c r="M16" s="42">
        <v>0</v>
      </c>
      <c r="N16" s="42"/>
      <c r="O16" s="42">
        <v>0</v>
      </c>
      <c r="P16" s="42"/>
      <c r="Q16" s="55">
        <v>25</v>
      </c>
      <c r="R16" s="42">
        <v>36</v>
      </c>
      <c r="S16" s="42">
        <v>50</v>
      </c>
      <c r="T16" s="42">
        <v>52</v>
      </c>
      <c r="U16" s="42" t="s">
        <v>69</v>
      </c>
      <c r="V16" s="42">
        <v>0</v>
      </c>
    </row>
    <row r="17" spans="1:27" x14ac:dyDescent="0.4">
      <c r="A17" t="s">
        <v>26</v>
      </c>
      <c r="B17" s="3"/>
      <c r="C17" s="3">
        <v>141.44</v>
      </c>
      <c r="D17" s="3">
        <v>164.3</v>
      </c>
      <c r="E17" s="3">
        <v>164.36</v>
      </c>
      <c r="F17" s="3">
        <v>164.36</v>
      </c>
      <c r="G17" s="3">
        <v>164.72</v>
      </c>
      <c r="H17" s="3">
        <v>164.73</v>
      </c>
      <c r="I17" s="3">
        <v>164.71</v>
      </c>
      <c r="J17" s="27">
        <v>164.44</v>
      </c>
      <c r="K17" s="42">
        <v>164</v>
      </c>
      <c r="L17" s="3">
        <v>185.5</v>
      </c>
      <c r="M17" s="3">
        <v>144.03</v>
      </c>
      <c r="N17" s="3">
        <v>163.58000000000001</v>
      </c>
      <c r="O17" s="3">
        <v>163.58000000000001</v>
      </c>
      <c r="P17" s="3">
        <v>163.58000000000001</v>
      </c>
      <c r="Q17" s="57">
        <v>163.47999999999999</v>
      </c>
      <c r="R17" s="3">
        <v>163.47999999999999</v>
      </c>
      <c r="S17" s="3">
        <v>163.65</v>
      </c>
      <c r="T17" s="20">
        <v>163.58000000000001</v>
      </c>
      <c r="U17" s="42" t="s">
        <v>69</v>
      </c>
      <c r="V17" s="3">
        <v>144.03</v>
      </c>
      <c r="X17" s="2"/>
      <c r="AA17" s="2"/>
    </row>
    <row r="18" spans="1:27" ht="13" thickBot="1" x14ac:dyDescent="0.45">
      <c r="A18" t="s">
        <v>27</v>
      </c>
      <c r="B18" s="3"/>
      <c r="C18" s="3">
        <v>132.56</v>
      </c>
      <c r="D18" s="3">
        <v>132.31</v>
      </c>
      <c r="E18" s="3">
        <v>139.11000000000001</v>
      </c>
      <c r="F18" s="3">
        <v>138.05000000000001</v>
      </c>
      <c r="G18" s="3">
        <v>142.30000000000001</v>
      </c>
      <c r="H18" s="3">
        <v>132.63</v>
      </c>
      <c r="I18" s="3">
        <v>136.56</v>
      </c>
      <c r="J18" s="27">
        <v>145.33000000000001</v>
      </c>
      <c r="K18" s="42">
        <v>136.44999999999999</v>
      </c>
      <c r="L18" s="3">
        <v>132.31</v>
      </c>
      <c r="M18" s="3">
        <v>142.16</v>
      </c>
      <c r="N18" s="3">
        <v>132.19</v>
      </c>
      <c r="O18" s="3">
        <v>134.72999999999999</v>
      </c>
      <c r="P18" s="3">
        <v>134.72999999999999</v>
      </c>
      <c r="Q18" s="57">
        <v>133.35</v>
      </c>
      <c r="R18" s="3">
        <v>77.290000000000006</v>
      </c>
      <c r="S18" s="3">
        <v>99.97</v>
      </c>
      <c r="T18" s="20">
        <v>99.88</v>
      </c>
      <c r="U18" s="42" t="s">
        <v>69</v>
      </c>
      <c r="V18" s="3">
        <v>142.16</v>
      </c>
      <c r="X18" s="2"/>
    </row>
    <row r="19" spans="1:27" ht="13" thickBot="1" x14ac:dyDescent="0.45">
      <c r="A19" t="s">
        <v>28</v>
      </c>
      <c r="B19" s="3"/>
      <c r="C19" s="3"/>
      <c r="D19" s="3"/>
      <c r="E19" s="3">
        <v>257.76</v>
      </c>
      <c r="F19" s="3"/>
      <c r="G19" s="3"/>
      <c r="H19" s="3">
        <v>240</v>
      </c>
      <c r="I19" s="3"/>
      <c r="J19" s="27">
        <v>120</v>
      </c>
      <c r="L19" s="27"/>
      <c r="M19" s="3">
        <v>0</v>
      </c>
      <c r="N19" s="3">
        <v>110.75</v>
      </c>
      <c r="O19" s="3">
        <v>0</v>
      </c>
      <c r="P19" s="3"/>
      <c r="Q19" s="59"/>
      <c r="R19" s="3"/>
      <c r="S19" s="3"/>
      <c r="T19" s="3"/>
      <c r="U19" s="3"/>
      <c r="V19" s="3">
        <v>50</v>
      </c>
    </row>
    <row r="20" spans="1:27" x14ac:dyDescent="0.4">
      <c r="A20" t="s">
        <v>29</v>
      </c>
      <c r="B20" s="3"/>
      <c r="C20" s="4">
        <v>460</v>
      </c>
      <c r="D20" s="4">
        <v>460</v>
      </c>
      <c r="E20" s="4">
        <v>460</v>
      </c>
      <c r="F20" s="4">
        <v>460</v>
      </c>
      <c r="G20" s="4">
        <v>460</v>
      </c>
      <c r="H20" s="4">
        <v>460</v>
      </c>
      <c r="I20" s="4">
        <v>460</v>
      </c>
      <c r="J20" s="4">
        <v>460</v>
      </c>
      <c r="K20" s="41">
        <v>460</v>
      </c>
      <c r="L20" s="4">
        <v>460</v>
      </c>
      <c r="M20" s="44">
        <v>460</v>
      </c>
      <c r="N20" s="44">
        <v>460</v>
      </c>
      <c r="O20" s="44">
        <v>460</v>
      </c>
      <c r="P20" s="44">
        <v>470</v>
      </c>
      <c r="Q20" s="58">
        <v>470</v>
      </c>
      <c r="R20" s="44">
        <v>470</v>
      </c>
      <c r="S20" s="44">
        <v>470</v>
      </c>
      <c r="T20" s="44">
        <v>470</v>
      </c>
      <c r="U20" s="42" t="s">
        <v>69</v>
      </c>
      <c r="V20" s="44">
        <v>460</v>
      </c>
    </row>
    <row r="21" spans="1:27" x14ac:dyDescent="0.4">
      <c r="B21" s="3"/>
      <c r="C21" s="3"/>
      <c r="D21" s="3"/>
      <c r="E21" s="3"/>
      <c r="F21" s="3"/>
      <c r="G21" s="3"/>
      <c r="H21" s="3"/>
      <c r="I21" s="3"/>
      <c r="J21" s="3"/>
    </row>
    <row r="22" spans="1:27" x14ac:dyDescent="0.4">
      <c r="B22" s="3"/>
      <c r="C22" s="3">
        <f t="shared" ref="C22:V22" si="0">SUM(C3:C21)</f>
        <v>2179.96</v>
      </c>
      <c r="D22" s="3">
        <f t="shared" si="0"/>
        <v>2209.4499999999998</v>
      </c>
      <c r="E22" s="3">
        <f t="shared" si="0"/>
        <v>2256.8900000000003</v>
      </c>
      <c r="F22" s="3">
        <f t="shared" si="0"/>
        <v>2265.33</v>
      </c>
      <c r="G22" s="3">
        <f t="shared" si="0"/>
        <v>2347.5</v>
      </c>
      <c r="H22" s="3">
        <f t="shared" si="0"/>
        <v>4553.67</v>
      </c>
      <c r="I22" s="50">
        <f t="shared" si="0"/>
        <v>3431.7599999999998</v>
      </c>
      <c r="J22" s="50">
        <f t="shared" si="0"/>
        <v>2299.9499999999998</v>
      </c>
      <c r="K22" s="50">
        <f t="shared" si="0"/>
        <v>2112.3599999999997</v>
      </c>
      <c r="L22" s="50">
        <f t="shared" si="0"/>
        <v>2001.82</v>
      </c>
      <c r="M22" s="50">
        <f t="shared" si="0"/>
        <v>1829.27</v>
      </c>
      <c r="N22" s="50">
        <f t="shared" si="0"/>
        <v>2034.3500000000001</v>
      </c>
      <c r="O22" s="50">
        <f t="shared" si="0"/>
        <v>2063.75</v>
      </c>
      <c r="P22" s="50">
        <f t="shared" si="0"/>
        <v>2093.33</v>
      </c>
      <c r="Q22" s="50">
        <f t="shared" si="0"/>
        <v>2175.6</v>
      </c>
      <c r="R22" s="50">
        <f t="shared" si="0"/>
        <v>2133.71</v>
      </c>
      <c r="S22" s="50">
        <f t="shared" si="0"/>
        <v>2174.13</v>
      </c>
      <c r="T22" s="50">
        <f t="shared" si="0"/>
        <v>3135.33</v>
      </c>
      <c r="U22" s="50"/>
      <c r="V22" s="50">
        <f t="shared" si="0"/>
        <v>1904.27</v>
      </c>
    </row>
    <row r="23" spans="1:27" x14ac:dyDescent="0.4">
      <c r="A23" t="s">
        <v>31</v>
      </c>
      <c r="B23" s="3"/>
      <c r="C23" s="3"/>
      <c r="D23" s="3"/>
      <c r="E23" s="3"/>
      <c r="F23" s="3"/>
      <c r="G23" s="3"/>
      <c r="H23" s="3"/>
      <c r="I23" s="3"/>
      <c r="J23" s="3"/>
      <c r="N23" s="2"/>
      <c r="O23" s="2"/>
      <c r="P23" s="2"/>
      <c r="Q23" s="2"/>
      <c r="R23" s="2"/>
      <c r="S23" s="2"/>
      <c r="T23" s="2"/>
      <c r="U23" s="2"/>
    </row>
    <row r="24" spans="1:27" x14ac:dyDescent="0.4">
      <c r="A24" t="s">
        <v>32</v>
      </c>
      <c r="B24" s="3"/>
      <c r="C24" s="3">
        <v>189</v>
      </c>
      <c r="D24" s="3">
        <v>189</v>
      </c>
      <c r="E24" s="3">
        <v>189</v>
      </c>
      <c r="F24" s="3">
        <v>120</v>
      </c>
      <c r="G24" s="3">
        <v>120</v>
      </c>
      <c r="H24" s="3">
        <v>120</v>
      </c>
      <c r="I24" s="45"/>
      <c r="J24" s="45"/>
      <c r="K24" s="46"/>
      <c r="L24" s="45">
        <v>120</v>
      </c>
      <c r="M24" s="30">
        <v>120</v>
      </c>
      <c r="N24" s="30">
        <v>120</v>
      </c>
      <c r="O24" s="30">
        <v>120</v>
      </c>
      <c r="P24" s="30">
        <v>120</v>
      </c>
      <c r="Q24" s="30">
        <v>120</v>
      </c>
      <c r="R24" s="30">
        <v>120</v>
      </c>
      <c r="S24" s="30">
        <v>120</v>
      </c>
      <c r="T24" s="30">
        <v>120</v>
      </c>
      <c r="U24" s="42" t="s">
        <v>69</v>
      </c>
    </row>
    <row r="25" spans="1:27" x14ac:dyDescent="0.4">
      <c r="A25" t="s">
        <v>33</v>
      </c>
      <c r="B25" s="3"/>
      <c r="C25" s="3">
        <v>300</v>
      </c>
      <c r="D25" s="3">
        <v>300</v>
      </c>
      <c r="E25" s="3">
        <v>300</v>
      </c>
      <c r="F25" s="3">
        <v>300</v>
      </c>
      <c r="G25" s="3">
        <v>300</v>
      </c>
      <c r="H25" s="3">
        <v>300</v>
      </c>
      <c r="I25" s="45">
        <v>300</v>
      </c>
      <c r="J25" s="45">
        <v>300</v>
      </c>
      <c r="K25" s="45">
        <v>300</v>
      </c>
      <c r="L25" s="45">
        <v>300</v>
      </c>
      <c r="M25" s="49">
        <v>300</v>
      </c>
      <c r="N25" s="49">
        <v>300</v>
      </c>
      <c r="O25" s="49">
        <v>300</v>
      </c>
      <c r="P25" s="49">
        <v>300</v>
      </c>
      <c r="Q25" s="49">
        <v>300</v>
      </c>
      <c r="R25" s="49">
        <v>300</v>
      </c>
      <c r="S25" s="49">
        <v>300</v>
      </c>
      <c r="T25" s="49">
        <v>300</v>
      </c>
      <c r="U25" s="42" t="s">
        <v>69</v>
      </c>
      <c r="V25" s="45">
        <v>350</v>
      </c>
      <c r="Y25" s="2"/>
    </row>
    <row r="26" spans="1:27" x14ac:dyDescent="0.4">
      <c r="A26" t="s">
        <v>34</v>
      </c>
      <c r="B26" s="3"/>
      <c r="C26" s="4">
        <v>120</v>
      </c>
      <c r="D26" s="4">
        <v>120</v>
      </c>
      <c r="E26" s="4">
        <v>120</v>
      </c>
      <c r="F26" s="4">
        <v>120</v>
      </c>
      <c r="G26" s="16">
        <v>120</v>
      </c>
      <c r="H26" s="16">
        <v>120</v>
      </c>
      <c r="I26" s="47">
        <v>120</v>
      </c>
      <c r="J26" s="47">
        <v>120</v>
      </c>
      <c r="K26" s="48">
        <v>120</v>
      </c>
      <c r="L26" s="48">
        <v>120</v>
      </c>
      <c r="M26" s="41">
        <v>120</v>
      </c>
      <c r="N26" s="41">
        <v>120</v>
      </c>
      <c r="O26" s="41">
        <v>120</v>
      </c>
      <c r="P26" s="41">
        <v>120</v>
      </c>
      <c r="Q26" s="41">
        <v>120</v>
      </c>
      <c r="R26" s="41">
        <v>120</v>
      </c>
      <c r="S26" s="41">
        <v>120</v>
      </c>
      <c r="T26" s="41">
        <v>120</v>
      </c>
      <c r="U26" s="42" t="s">
        <v>69</v>
      </c>
      <c r="V26" s="52">
        <v>100</v>
      </c>
      <c r="W26" t="s">
        <v>56</v>
      </c>
      <c r="X26" t="s">
        <v>57</v>
      </c>
    </row>
    <row r="27" spans="1:27" x14ac:dyDescent="0.4">
      <c r="B27" s="3"/>
      <c r="C27" s="3">
        <f t="shared" ref="C27:V27" si="1">C22+SUM(C24:C26)</f>
        <v>2788.96</v>
      </c>
      <c r="D27" s="3">
        <f t="shared" si="1"/>
        <v>2818.45</v>
      </c>
      <c r="E27" s="3">
        <f t="shared" si="1"/>
        <v>2865.8900000000003</v>
      </c>
      <c r="F27" s="3">
        <f t="shared" si="1"/>
        <v>2805.33</v>
      </c>
      <c r="G27" s="3">
        <f t="shared" si="1"/>
        <v>2887.5</v>
      </c>
      <c r="H27" s="3">
        <f t="shared" si="1"/>
        <v>5093.67</v>
      </c>
      <c r="I27" s="50">
        <f t="shared" si="1"/>
        <v>3851.7599999999998</v>
      </c>
      <c r="J27" s="50">
        <f t="shared" si="1"/>
        <v>2719.95</v>
      </c>
      <c r="K27" s="50">
        <f t="shared" si="1"/>
        <v>2532.3599999999997</v>
      </c>
      <c r="L27" s="50">
        <f t="shared" si="1"/>
        <v>2541.8199999999997</v>
      </c>
      <c r="M27" s="50">
        <f t="shared" si="1"/>
        <v>2369.27</v>
      </c>
      <c r="N27" s="50">
        <f t="shared" si="1"/>
        <v>2574.3500000000004</v>
      </c>
      <c r="O27" s="50">
        <f t="shared" si="1"/>
        <v>2603.75</v>
      </c>
      <c r="P27" s="50">
        <f t="shared" si="1"/>
        <v>2633.33</v>
      </c>
      <c r="Q27" s="50">
        <f t="shared" si="1"/>
        <v>2715.6</v>
      </c>
      <c r="R27" s="50">
        <f t="shared" si="1"/>
        <v>2673.71</v>
      </c>
      <c r="S27" s="50">
        <f t="shared" si="1"/>
        <v>2714.13</v>
      </c>
      <c r="T27" s="50">
        <f t="shared" si="1"/>
        <v>3675.33</v>
      </c>
      <c r="U27" s="50"/>
      <c r="V27" s="50">
        <f t="shared" si="1"/>
        <v>2354.27</v>
      </c>
      <c r="W27" s="54"/>
    </row>
    <row r="28" spans="1:27" x14ac:dyDescent="0.4">
      <c r="B28" s="3"/>
      <c r="C28" s="3"/>
      <c r="D28" s="3"/>
      <c r="E28" s="3"/>
      <c r="F28" s="3"/>
      <c r="G28" s="3"/>
      <c r="H28" s="3"/>
      <c r="I28" s="3"/>
      <c r="J28" s="3"/>
      <c r="K28" s="25"/>
      <c r="O28" s="51"/>
      <c r="P28" s="51"/>
      <c r="Q28" s="2"/>
      <c r="R28" s="2"/>
      <c r="S28" s="2"/>
      <c r="T28" s="2"/>
      <c r="W28" s="22"/>
    </row>
    <row r="29" spans="1:27" x14ac:dyDescent="0.4">
      <c r="B29" s="3"/>
      <c r="C29" s="3"/>
      <c r="D29" s="3"/>
      <c r="E29" s="3"/>
      <c r="F29" s="3"/>
      <c r="G29" s="3"/>
      <c r="H29" s="3"/>
      <c r="I29" s="3"/>
      <c r="J29" s="3"/>
      <c r="K29" s="5"/>
      <c r="U29" s="2"/>
      <c r="W29" s="22"/>
      <c r="Y29" s="2"/>
    </row>
    <row r="30" spans="1:27" x14ac:dyDescent="0.4">
      <c r="T30" s="2"/>
      <c r="U30" s="2"/>
      <c r="W30" s="30"/>
    </row>
    <row r="31" spans="1:27" x14ac:dyDescent="0.4">
      <c r="A31" t="s">
        <v>42</v>
      </c>
    </row>
    <row r="32" spans="1:27" x14ac:dyDescent="0.4">
      <c r="A32" s="51" t="s">
        <v>43</v>
      </c>
      <c r="F32" s="5"/>
      <c r="X32" s="53">
        <f>3026.83+2494</f>
        <v>5520.83</v>
      </c>
    </row>
    <row r="33" spans="1:24" x14ac:dyDescent="0.4">
      <c r="A33" s="51" t="s">
        <v>53</v>
      </c>
      <c r="C33" s="1"/>
      <c r="N33" s="53"/>
      <c r="O33" s="53"/>
      <c r="P33" s="53"/>
      <c r="W33" s="2"/>
      <c r="X33" s="53">
        <f>-T27</f>
        <v>-3675.33</v>
      </c>
    </row>
    <row r="34" spans="1:24" x14ac:dyDescent="0.4">
      <c r="A34" s="51" t="s">
        <v>74</v>
      </c>
      <c r="C34" s="1"/>
      <c r="P34" s="2"/>
      <c r="X34" s="53">
        <f>SUM(X32:X33)</f>
        <v>1845.5</v>
      </c>
    </row>
    <row r="35" spans="1:24" x14ac:dyDescent="0.4">
      <c r="C35" s="1"/>
      <c r="D35" s="5"/>
    </row>
    <row r="36" spans="1:24" x14ac:dyDescent="0.4">
      <c r="A36" s="2"/>
      <c r="C36" s="1"/>
    </row>
    <row r="37" spans="1:24" x14ac:dyDescent="0.4">
      <c r="C37" s="1"/>
    </row>
    <row r="38" spans="1:24" x14ac:dyDescent="0.4">
      <c r="C38" s="1"/>
    </row>
    <row r="39" spans="1:24" x14ac:dyDescent="0.4">
      <c r="C39" s="1"/>
    </row>
    <row r="40" spans="1:24" x14ac:dyDescent="0.4">
      <c r="C40" s="1"/>
    </row>
    <row r="41" spans="1:24" x14ac:dyDescent="0.4">
      <c r="C41" s="1"/>
    </row>
    <row r="42" spans="1:24" x14ac:dyDescent="0.4">
      <c r="C42" s="1"/>
    </row>
    <row r="43" spans="1:24" x14ac:dyDescent="0.4">
      <c r="C43" s="1"/>
    </row>
    <row r="44" spans="1:24" x14ac:dyDescent="0.4">
      <c r="C44" s="1"/>
    </row>
    <row r="45" spans="1:24" x14ac:dyDescent="0.4">
      <c r="C45" s="1"/>
    </row>
    <row r="46" spans="1:24" x14ac:dyDescent="0.4">
      <c r="C46" s="1"/>
    </row>
    <row r="47" spans="1:24" x14ac:dyDescent="0.4">
      <c r="C47" s="1"/>
    </row>
    <row r="48" spans="1:24" x14ac:dyDescent="0.4">
      <c r="C48" s="1"/>
    </row>
    <row r="49" spans="3:3" x14ac:dyDescent="0.4">
      <c r="C49" s="1"/>
    </row>
    <row r="50" spans="3:3" x14ac:dyDescent="0.4">
      <c r="C50" s="1"/>
    </row>
    <row r="51" spans="3:3" x14ac:dyDescent="0.4">
      <c r="C51" s="1"/>
    </row>
    <row r="52" spans="3:3" x14ac:dyDescent="0.4">
      <c r="C52" s="1"/>
    </row>
  </sheetData>
  <phoneticPr fontId="3" type="noConversion"/>
  <pageMargins left="0.75" right="0.75" top="1" bottom="1" header="0.5" footer="0.5"/>
  <pageSetup scale="78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workbookViewId="0">
      <selection activeCell="B4" sqref="B4"/>
    </sheetView>
  </sheetViews>
  <sheetFormatPr defaultRowHeight="12.7" x14ac:dyDescent="0.4"/>
  <cols>
    <col min="1" max="1" width="28.234375" customWidth="1"/>
    <col min="2" max="2" width="14.1171875" customWidth="1"/>
    <col min="3" max="3" width="10.703125" customWidth="1"/>
    <col min="4" max="4" width="4.703125" customWidth="1"/>
    <col min="9" max="9" width="9.234375" bestFit="1" customWidth="1"/>
    <col min="14" max="14" width="13" customWidth="1"/>
  </cols>
  <sheetData>
    <row r="1" spans="1:16" x14ac:dyDescent="0.4">
      <c r="B1" t="s">
        <v>83</v>
      </c>
      <c r="D1" s="43"/>
      <c r="E1" s="31" t="s">
        <v>48</v>
      </c>
      <c r="F1" s="31" t="s">
        <v>0</v>
      </c>
      <c r="G1" s="31" t="s">
        <v>3</v>
      </c>
      <c r="H1" s="31" t="s">
        <v>10</v>
      </c>
      <c r="I1" s="31" t="s">
        <v>11</v>
      </c>
      <c r="J1" s="31" t="s">
        <v>12</v>
      </c>
      <c r="K1" s="31" t="s">
        <v>13</v>
      </c>
      <c r="L1" s="31"/>
      <c r="M1" s="31"/>
      <c r="N1" s="31" t="s">
        <v>1</v>
      </c>
      <c r="O1" s="31"/>
      <c r="P1" s="31"/>
    </row>
    <row r="2" spans="1:16" x14ac:dyDescent="0.4">
      <c r="A2" t="s">
        <v>71</v>
      </c>
      <c r="B2" s="13">
        <v>4160</v>
      </c>
      <c r="C2" s="2"/>
      <c r="D2" s="22"/>
      <c r="E2" s="1"/>
      <c r="F2" s="1"/>
      <c r="G2" s="1"/>
      <c r="H2" s="1"/>
      <c r="I2" s="1"/>
      <c r="J2" s="1"/>
      <c r="K2" s="1"/>
      <c r="L2" s="1"/>
      <c r="M2" s="1"/>
      <c r="N2" s="5">
        <f>B2-SUM(E2:M2)</f>
        <v>4160</v>
      </c>
      <c r="O2" s="2"/>
    </row>
    <row r="3" spans="1:16" s="40" customFormat="1" x14ac:dyDescent="0.4">
      <c r="A3" s="40" t="s">
        <v>78</v>
      </c>
      <c r="B3" s="16">
        <v>8700</v>
      </c>
      <c r="C3" s="15"/>
      <c r="D3" s="16"/>
      <c r="E3" s="29"/>
      <c r="F3" s="29"/>
      <c r="G3" s="41"/>
      <c r="H3" s="41"/>
      <c r="I3" s="29"/>
      <c r="J3" s="41"/>
      <c r="K3" s="41"/>
      <c r="L3" s="41"/>
      <c r="M3" s="41"/>
      <c r="N3" s="29">
        <f>B3-SUM(E3:M3)</f>
        <v>8700</v>
      </c>
      <c r="O3" s="72"/>
      <c r="P3" s="72"/>
    </row>
    <row r="4" spans="1:16" x14ac:dyDescent="0.4">
      <c r="A4" s="73" t="s">
        <v>45</v>
      </c>
      <c r="B4" s="14">
        <f>SUM(B2:B3)</f>
        <v>12860</v>
      </c>
      <c r="C4" s="14"/>
      <c r="D4" s="24"/>
      <c r="E4" s="14">
        <f t="shared" ref="E4:L4" si="0">SUM(E2:E3)</f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/>
      <c r="N4" s="14">
        <f>SUM(N2:N3)</f>
        <v>12860</v>
      </c>
    </row>
    <row r="5" spans="1:16" x14ac:dyDescent="0.4">
      <c r="B5" s="14"/>
      <c r="C5" s="14"/>
    </row>
    <row r="6" spans="1:16" x14ac:dyDescent="0.4">
      <c r="B6" s="14"/>
      <c r="C6" s="13" t="s">
        <v>2</v>
      </c>
    </row>
    <row r="7" spans="1:16" x14ac:dyDescent="0.4">
      <c r="B7" s="7"/>
      <c r="C7" s="11"/>
      <c r="D7" s="2"/>
      <c r="F7" s="2"/>
    </row>
    <row r="8" spans="1:16" x14ac:dyDescent="0.4">
      <c r="B8" s="8"/>
      <c r="C8" s="14"/>
    </row>
    <row r="9" spans="1:16" x14ac:dyDescent="0.4">
      <c r="A9" t="s">
        <v>15</v>
      </c>
      <c r="B9" s="7"/>
      <c r="C9" s="14">
        <f>B4</f>
        <v>12860</v>
      </c>
    </row>
    <row r="10" spans="1:16" x14ac:dyDescent="0.4">
      <c r="B10" s="10"/>
      <c r="C10" s="14"/>
    </row>
    <row r="11" spans="1:16" x14ac:dyDescent="0.4">
      <c r="B11" s="10"/>
      <c r="C11" s="14"/>
    </row>
    <row r="12" spans="1:16" x14ac:dyDescent="0.4">
      <c r="B12" s="10"/>
      <c r="C12" s="14"/>
      <c r="D12" s="2"/>
      <c r="G12" s="2"/>
    </row>
    <row r="13" spans="1:16" x14ac:dyDescent="0.4">
      <c r="A13" t="s">
        <v>64</v>
      </c>
      <c r="B13" s="10">
        <f>G4</f>
        <v>0</v>
      </c>
      <c r="C13" s="14">
        <f t="shared" ref="C13:C19" si="1">C12-B13</f>
        <v>0</v>
      </c>
    </row>
    <row r="14" spans="1:16" x14ac:dyDescent="0.4">
      <c r="A14" t="s">
        <v>65</v>
      </c>
      <c r="B14" s="24">
        <f>H4</f>
        <v>0</v>
      </c>
      <c r="C14" s="14">
        <f t="shared" si="1"/>
        <v>0</v>
      </c>
    </row>
    <row r="15" spans="1:16" x14ac:dyDescent="0.4">
      <c r="A15" t="s">
        <v>66</v>
      </c>
      <c r="B15" s="25">
        <f>I4</f>
        <v>0</v>
      </c>
      <c r="C15" s="14">
        <f t="shared" si="1"/>
        <v>0</v>
      </c>
    </row>
    <row r="16" spans="1:16" x14ac:dyDescent="0.4">
      <c r="A16" t="s">
        <v>67</v>
      </c>
      <c r="B16" s="25">
        <f>J4</f>
        <v>0</v>
      </c>
      <c r="C16" s="14">
        <f t="shared" si="1"/>
        <v>0</v>
      </c>
      <c r="D16" s="2"/>
    </row>
    <row r="17" spans="1:6" x14ac:dyDescent="0.4">
      <c r="A17" t="s">
        <v>73</v>
      </c>
      <c r="B17" s="61">
        <f>K4</f>
        <v>0</v>
      </c>
      <c r="C17" s="14">
        <f t="shared" si="1"/>
        <v>0</v>
      </c>
      <c r="D17" s="2"/>
    </row>
    <row r="18" spans="1:6" x14ac:dyDescent="0.4">
      <c r="A18" t="s">
        <v>81</v>
      </c>
      <c r="B18" s="61">
        <f>L4</f>
        <v>0</v>
      </c>
      <c r="C18" s="14">
        <f t="shared" si="1"/>
        <v>0</v>
      </c>
    </row>
    <row r="19" spans="1:6" x14ac:dyDescent="0.4">
      <c r="A19" t="s">
        <v>82</v>
      </c>
      <c r="B19" s="61">
        <f>M4</f>
        <v>0</v>
      </c>
      <c r="C19" s="14">
        <f t="shared" si="1"/>
        <v>0</v>
      </c>
      <c r="D19" s="2"/>
      <c r="F19" s="2"/>
    </row>
    <row r="21" spans="1:6" x14ac:dyDescent="0.4">
      <c r="A21" t="s">
        <v>63</v>
      </c>
    </row>
    <row r="22" spans="1:6" x14ac:dyDescent="0.4">
      <c r="A22" t="s">
        <v>62</v>
      </c>
    </row>
    <row r="24" spans="1:6" x14ac:dyDescent="0.4">
      <c r="B24" s="14"/>
    </row>
    <row r="27" spans="1:6" x14ac:dyDescent="0.4">
      <c r="A27" t="s">
        <v>77</v>
      </c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8"/>
  <sheetViews>
    <sheetView tabSelected="1" zoomScale="70" zoomScaleNormal="70" workbookViewId="0">
      <pane xSplit="1" topLeftCell="B1" activePane="topRight" state="frozen"/>
      <selection pane="topRight" activeCell="B101" sqref="B101"/>
    </sheetView>
  </sheetViews>
  <sheetFormatPr defaultColWidth="9.05859375" defaultRowHeight="15.35" x14ac:dyDescent="0.5"/>
  <cols>
    <col min="1" max="1" width="35.41015625" style="92" customWidth="1"/>
    <col min="2" max="2" width="14.5859375" style="92" customWidth="1"/>
    <col min="3" max="3" width="13.41015625" style="92" customWidth="1"/>
    <col min="4" max="4" width="14.52734375" style="92" customWidth="1"/>
    <col min="5" max="6" width="12.41015625" style="92" customWidth="1"/>
    <col min="7" max="7" width="13.1171875" style="92" customWidth="1"/>
    <col min="8" max="8" width="12.41015625" style="92" customWidth="1"/>
    <col min="9" max="9" width="14.46875" style="92" customWidth="1"/>
    <col min="10" max="10" width="2.234375" style="91" customWidth="1"/>
    <col min="11" max="11" width="13.1171875" style="92" customWidth="1"/>
    <col min="12" max="12" width="13.05859375" style="92" customWidth="1"/>
    <col min="13" max="13" width="12.703125" style="92" customWidth="1"/>
    <col min="14" max="14" width="13.05859375" style="92" customWidth="1"/>
    <col min="15" max="15" width="3.5859375" style="92" customWidth="1"/>
    <col min="16" max="16" width="14" style="92" customWidth="1"/>
    <col min="17" max="17" width="12.1171875" style="92" customWidth="1"/>
    <col min="18" max="18" width="9.234375" style="92" customWidth="1"/>
    <col min="19" max="19" width="10.87890625" style="92" bestFit="1" customWidth="1"/>
    <col min="20" max="16384" width="9.05859375" style="92"/>
  </cols>
  <sheetData>
    <row r="1" spans="1:18" x14ac:dyDescent="0.5">
      <c r="A1" s="91"/>
    </row>
    <row r="2" spans="1:18" x14ac:dyDescent="0.5">
      <c r="A2" s="91" t="s">
        <v>30</v>
      </c>
      <c r="B2" s="93" t="s">
        <v>41</v>
      </c>
      <c r="C2" s="94" t="s">
        <v>44</v>
      </c>
      <c r="D2" s="93" t="s">
        <v>51</v>
      </c>
      <c r="E2" s="93" t="s">
        <v>52</v>
      </c>
      <c r="F2" s="93" t="s">
        <v>47</v>
      </c>
      <c r="G2" s="93" t="s">
        <v>48</v>
      </c>
      <c r="H2" s="93" t="s">
        <v>0</v>
      </c>
      <c r="I2" s="93" t="s">
        <v>3</v>
      </c>
      <c r="J2" s="134"/>
      <c r="K2" s="93" t="s">
        <v>10</v>
      </c>
      <c r="L2" s="93" t="s">
        <v>11</v>
      </c>
      <c r="M2" s="93" t="s">
        <v>12</v>
      </c>
      <c r="N2" s="93" t="s">
        <v>13</v>
      </c>
      <c r="O2" s="93"/>
      <c r="P2" s="95" t="s">
        <v>45</v>
      </c>
      <c r="Q2" s="96"/>
    </row>
    <row r="3" spans="1:18" x14ac:dyDescent="0.5">
      <c r="A3" s="91" t="s">
        <v>79</v>
      </c>
      <c r="B3" s="97"/>
      <c r="C3" s="98"/>
      <c r="D3" s="97"/>
      <c r="E3" s="97"/>
      <c r="F3" s="97"/>
      <c r="G3" s="97"/>
      <c r="H3" s="97"/>
      <c r="I3" s="97"/>
      <c r="J3" s="104"/>
      <c r="K3" s="97"/>
      <c r="L3" s="97"/>
      <c r="M3" s="97"/>
      <c r="N3" s="97"/>
      <c r="O3" s="97"/>
      <c r="P3" s="96"/>
      <c r="Q3" s="96"/>
    </row>
    <row r="4" spans="1:18" ht="15.7" x14ac:dyDescent="0.55000000000000004">
      <c r="A4" s="92" t="s">
        <v>132</v>
      </c>
      <c r="B4" s="99">
        <v>1662</v>
      </c>
      <c r="C4" s="99">
        <v>1662</v>
      </c>
      <c r="D4" s="99">
        <v>1668.9</v>
      </c>
      <c r="E4" s="99">
        <v>1668.9</v>
      </c>
      <c r="F4" s="99">
        <v>1668.9</v>
      </c>
      <c r="G4" s="99">
        <v>1668.9</v>
      </c>
      <c r="H4" s="99">
        <v>1668.9</v>
      </c>
      <c r="I4" s="99">
        <v>1668.9</v>
      </c>
      <c r="J4" s="135"/>
      <c r="K4" s="99">
        <v>1668.9</v>
      </c>
      <c r="L4" s="99">
        <v>1668.9</v>
      </c>
      <c r="M4" s="99">
        <v>1668.9</v>
      </c>
      <c r="N4" s="99">
        <v>1668.9</v>
      </c>
      <c r="O4" s="100" t="s">
        <v>69</v>
      </c>
      <c r="P4" s="101">
        <f>SUM(B4:N4)</f>
        <v>20013</v>
      </c>
      <c r="Q4" s="101"/>
    </row>
    <row r="5" spans="1:18" ht="15.7" x14ac:dyDescent="0.55000000000000004">
      <c r="A5" s="92" t="s">
        <v>133</v>
      </c>
      <c r="B5" s="99">
        <v>450</v>
      </c>
      <c r="C5" s="99">
        <v>450</v>
      </c>
      <c r="D5" s="99">
        <v>350</v>
      </c>
      <c r="E5" s="99">
        <v>450</v>
      </c>
      <c r="F5" s="99">
        <v>400</v>
      </c>
      <c r="G5" s="99">
        <v>300</v>
      </c>
      <c r="H5" s="99">
        <v>400</v>
      </c>
      <c r="I5" s="99">
        <v>400</v>
      </c>
      <c r="J5" s="135"/>
      <c r="K5" s="99">
        <v>400</v>
      </c>
      <c r="L5" s="99">
        <v>450</v>
      </c>
      <c r="M5" s="99">
        <v>400</v>
      </c>
      <c r="N5" s="99">
        <v>450</v>
      </c>
      <c r="O5" s="100" t="s">
        <v>69</v>
      </c>
      <c r="P5" s="101">
        <f>SUM(B5:N5)</f>
        <v>4900</v>
      </c>
      <c r="Q5" s="101"/>
    </row>
    <row r="6" spans="1:18" ht="15.7" x14ac:dyDescent="0.55000000000000004">
      <c r="A6" s="92" t="s">
        <v>134</v>
      </c>
      <c r="B6" s="99">
        <v>500</v>
      </c>
      <c r="C6" s="99">
        <v>500</v>
      </c>
      <c r="D6" s="99">
        <v>500</v>
      </c>
      <c r="E6" s="99">
        <v>500</v>
      </c>
      <c r="F6" s="99">
        <v>500</v>
      </c>
      <c r="G6" s="99">
        <v>500</v>
      </c>
      <c r="H6" s="99">
        <v>500</v>
      </c>
      <c r="I6" s="99">
        <v>500</v>
      </c>
      <c r="J6" s="136"/>
      <c r="K6" s="99">
        <v>500</v>
      </c>
      <c r="L6" s="99">
        <v>500</v>
      </c>
      <c r="M6" s="99">
        <v>500</v>
      </c>
      <c r="N6" s="99">
        <v>500</v>
      </c>
      <c r="O6" s="100" t="s">
        <v>69</v>
      </c>
      <c r="P6" s="101">
        <f>SUM(B6:N6)</f>
        <v>6000</v>
      </c>
      <c r="Q6" s="101"/>
    </row>
    <row r="7" spans="1:18" ht="15.7" x14ac:dyDescent="0.55000000000000004">
      <c r="A7" s="92" t="s">
        <v>150</v>
      </c>
      <c r="B7" s="102">
        <f>545+466.09+82+180.68+206+500+295+625+154</f>
        <v>3053.77</v>
      </c>
      <c r="C7" s="102">
        <f>295</f>
        <v>295</v>
      </c>
      <c r="D7" s="102">
        <v>295</v>
      </c>
      <c r="E7" s="102">
        <v>295</v>
      </c>
      <c r="F7" s="102">
        <v>295</v>
      </c>
      <c r="G7" s="102">
        <v>295</v>
      </c>
      <c r="H7" s="102">
        <v>295</v>
      </c>
      <c r="I7" s="102">
        <v>295</v>
      </c>
      <c r="J7" s="137"/>
      <c r="K7" s="102">
        <v>295</v>
      </c>
      <c r="L7" s="102">
        <v>295</v>
      </c>
      <c r="M7" s="102">
        <v>295</v>
      </c>
      <c r="N7" s="102">
        <v>295</v>
      </c>
      <c r="O7" s="100" t="s">
        <v>69</v>
      </c>
      <c r="P7" s="103">
        <f>SUM(B7:N7)</f>
        <v>6298.77</v>
      </c>
      <c r="Q7" s="101"/>
    </row>
    <row r="8" spans="1:18" x14ac:dyDescent="0.5">
      <c r="A8" s="92" t="s">
        <v>45</v>
      </c>
      <c r="B8" s="99">
        <f>SUM(B4:B7)</f>
        <v>5665.77</v>
      </c>
      <c r="C8" s="99">
        <f t="shared" ref="C8:N8" si="0">SUM(C4:C7)</f>
        <v>2907</v>
      </c>
      <c r="D8" s="99">
        <f t="shared" si="0"/>
        <v>2813.9</v>
      </c>
      <c r="E8" s="99">
        <f t="shared" si="0"/>
        <v>2913.9</v>
      </c>
      <c r="F8" s="99">
        <f t="shared" si="0"/>
        <v>2863.9</v>
      </c>
      <c r="G8" s="99">
        <f t="shared" si="0"/>
        <v>2763.9</v>
      </c>
      <c r="H8" s="99">
        <f t="shared" si="0"/>
        <v>2863.9</v>
      </c>
      <c r="I8" s="99">
        <f t="shared" si="0"/>
        <v>2863.9</v>
      </c>
      <c r="J8" s="136"/>
      <c r="K8" s="99">
        <f t="shared" si="0"/>
        <v>2863.9</v>
      </c>
      <c r="L8" s="99">
        <f t="shared" si="0"/>
        <v>2913.9</v>
      </c>
      <c r="M8" s="99">
        <f t="shared" si="0"/>
        <v>2863.9</v>
      </c>
      <c r="N8" s="99">
        <f t="shared" si="0"/>
        <v>2913.9</v>
      </c>
      <c r="O8" s="99"/>
      <c r="P8" s="101">
        <f>SUM(B8:N8)</f>
        <v>37211.770000000011</v>
      </c>
      <c r="Q8" s="101"/>
      <c r="R8" s="91"/>
    </row>
    <row r="9" spans="1:18" x14ac:dyDescent="0.5">
      <c r="B9" s="97"/>
      <c r="C9" s="98"/>
      <c r="D9" s="97"/>
      <c r="E9" s="97"/>
      <c r="F9" s="97"/>
      <c r="G9" s="97"/>
      <c r="H9" s="97"/>
      <c r="I9" s="97"/>
      <c r="J9" s="104"/>
      <c r="K9" s="97"/>
      <c r="L9" s="97"/>
      <c r="M9" s="97"/>
      <c r="N9" s="97"/>
      <c r="O9" s="97"/>
      <c r="P9" s="96"/>
      <c r="Q9" s="96"/>
    </row>
    <row r="10" spans="1:18" x14ac:dyDescent="0.5">
      <c r="A10" s="91" t="s">
        <v>135</v>
      </c>
      <c r="B10" s="97"/>
      <c r="C10" s="98"/>
      <c r="D10" s="97"/>
      <c r="E10" s="97"/>
      <c r="F10" s="97"/>
      <c r="G10" s="97"/>
      <c r="H10" s="97"/>
      <c r="I10" s="97"/>
      <c r="J10" s="104"/>
      <c r="K10" s="97"/>
      <c r="L10" s="97"/>
      <c r="M10" s="97"/>
      <c r="N10" s="104"/>
      <c r="O10" s="104"/>
      <c r="P10" s="96"/>
      <c r="Q10" s="96"/>
    </row>
    <row r="11" spans="1:18" x14ac:dyDescent="0.5">
      <c r="B11" s="105"/>
      <c r="C11" s="105"/>
      <c r="D11" s="105"/>
      <c r="E11" s="105"/>
      <c r="F11" s="105"/>
      <c r="G11" s="105"/>
      <c r="H11" s="105"/>
      <c r="I11" s="105"/>
      <c r="J11" s="108"/>
      <c r="K11" s="105"/>
      <c r="L11" s="105"/>
      <c r="M11" s="105"/>
      <c r="N11" s="105"/>
      <c r="O11" s="105"/>
      <c r="P11" s="101">
        <f>SUM(B11:N11)</f>
        <v>0</v>
      </c>
      <c r="Q11" s="101"/>
    </row>
    <row r="12" spans="1:18" ht="15.75" customHeight="1" x14ac:dyDescent="0.55000000000000004">
      <c r="A12" s="92" t="s">
        <v>160</v>
      </c>
      <c r="B12" s="105">
        <v>50</v>
      </c>
      <c r="C12" s="105">
        <v>50</v>
      </c>
      <c r="D12" s="105">
        <v>50</v>
      </c>
      <c r="E12" s="105">
        <v>50</v>
      </c>
      <c r="F12" s="105">
        <v>50</v>
      </c>
      <c r="G12" s="105">
        <v>50</v>
      </c>
      <c r="H12" s="105">
        <v>50</v>
      </c>
      <c r="I12" s="105">
        <v>50</v>
      </c>
      <c r="J12" s="135"/>
      <c r="K12" s="105">
        <v>50</v>
      </c>
      <c r="L12" s="105">
        <v>50</v>
      </c>
      <c r="M12" s="105">
        <v>50</v>
      </c>
      <c r="N12" s="105">
        <v>50</v>
      </c>
      <c r="O12" s="100" t="s">
        <v>69</v>
      </c>
      <c r="P12" s="101">
        <f>SUM(B12:N12)</f>
        <v>600</v>
      </c>
      <c r="Q12" s="101"/>
    </row>
    <row r="13" spans="1:18" ht="15.75" customHeight="1" x14ac:dyDescent="0.55000000000000004">
      <c r="A13" s="92" t="s">
        <v>161</v>
      </c>
      <c r="B13" s="105"/>
      <c r="C13" s="105"/>
      <c r="D13" s="105"/>
      <c r="E13" s="105"/>
      <c r="F13" s="108"/>
      <c r="G13" s="105"/>
      <c r="H13" s="105">
        <v>50</v>
      </c>
      <c r="I13" s="105">
        <v>70</v>
      </c>
      <c r="J13" s="135"/>
      <c r="K13" s="105">
        <v>70</v>
      </c>
      <c r="L13" s="105">
        <v>70</v>
      </c>
      <c r="M13" s="105">
        <v>70</v>
      </c>
      <c r="N13" s="105">
        <v>70</v>
      </c>
      <c r="O13" s="100" t="s">
        <v>69</v>
      </c>
      <c r="P13" s="101"/>
      <c r="Q13" s="101"/>
    </row>
    <row r="14" spans="1:18" x14ac:dyDescent="0.5">
      <c r="A14" s="92" t="s">
        <v>123</v>
      </c>
      <c r="B14" s="105">
        <v>497.05</v>
      </c>
      <c r="C14" s="106"/>
      <c r="D14" s="107">
        <v>466</v>
      </c>
      <c r="E14" s="105"/>
      <c r="F14" s="107"/>
      <c r="G14" s="107">
        <v>466</v>
      </c>
      <c r="H14" s="107"/>
      <c r="I14" s="107"/>
      <c r="J14" s="110"/>
      <c r="K14" s="101">
        <v>497.05</v>
      </c>
      <c r="L14" s="107">
        <v>0</v>
      </c>
      <c r="M14" s="107"/>
      <c r="N14" s="107"/>
      <c r="O14" s="107"/>
      <c r="P14" s="101">
        <f t="shared" ref="P14:P20" si="1">SUM(B14:N14)</f>
        <v>1926.1</v>
      </c>
      <c r="Q14" s="101"/>
      <c r="R14" s="91"/>
    </row>
    <row r="15" spans="1:18" ht="14.25" customHeight="1" x14ac:dyDescent="0.55000000000000004">
      <c r="A15" s="92" t="s">
        <v>138</v>
      </c>
      <c r="B15" s="105">
        <v>70</v>
      </c>
      <c r="C15" s="105">
        <v>70</v>
      </c>
      <c r="D15" s="105">
        <v>70</v>
      </c>
      <c r="E15" s="105">
        <v>70</v>
      </c>
      <c r="F15" s="105">
        <v>70</v>
      </c>
      <c r="G15" s="105">
        <v>70</v>
      </c>
      <c r="H15" s="105">
        <v>70</v>
      </c>
      <c r="I15" s="105">
        <v>70</v>
      </c>
      <c r="J15" s="135"/>
      <c r="K15" s="105">
        <v>70</v>
      </c>
      <c r="L15" s="105"/>
      <c r="M15" s="105"/>
      <c r="N15" s="105"/>
      <c r="O15" s="105"/>
      <c r="P15" s="101">
        <f t="shared" si="1"/>
        <v>630</v>
      </c>
      <c r="Q15" s="101"/>
    </row>
    <row r="16" spans="1:18" ht="14.25" customHeight="1" x14ac:dyDescent="0.55000000000000004">
      <c r="A16" s="92" t="s">
        <v>90</v>
      </c>
      <c r="B16" s="105">
        <v>295</v>
      </c>
      <c r="C16" s="105">
        <v>295</v>
      </c>
      <c r="D16" s="105">
        <v>295</v>
      </c>
      <c r="E16" s="105">
        <v>295</v>
      </c>
      <c r="F16" s="105">
        <v>295</v>
      </c>
      <c r="G16" s="105">
        <v>295</v>
      </c>
      <c r="H16" s="105">
        <v>295</v>
      </c>
      <c r="I16" s="105">
        <v>295</v>
      </c>
      <c r="J16" s="135"/>
      <c r="K16" s="105">
        <v>295</v>
      </c>
      <c r="L16" s="105">
        <v>295</v>
      </c>
      <c r="M16" s="105">
        <v>295</v>
      </c>
      <c r="N16" s="105">
        <v>295</v>
      </c>
      <c r="O16" s="100" t="s">
        <v>69</v>
      </c>
      <c r="P16" s="101">
        <f t="shared" si="1"/>
        <v>3540</v>
      </c>
      <c r="Q16" s="101"/>
    </row>
    <row r="17" spans="1:22" ht="14.25" customHeight="1" x14ac:dyDescent="0.5">
      <c r="A17" s="92" t="s">
        <v>139</v>
      </c>
      <c r="B17" s="105">
        <v>545</v>
      </c>
      <c r="C17" s="105"/>
      <c r="D17" s="105"/>
      <c r="E17" s="105"/>
      <c r="F17" s="105"/>
      <c r="G17" s="105"/>
      <c r="H17" s="105"/>
      <c r="I17" s="105"/>
      <c r="J17" s="108"/>
      <c r="K17" s="105"/>
      <c r="L17" s="105"/>
      <c r="M17" s="105"/>
      <c r="N17" s="108"/>
      <c r="O17" s="108"/>
      <c r="P17" s="101">
        <f t="shared" si="1"/>
        <v>545</v>
      </c>
      <c r="Q17" s="101"/>
    </row>
    <row r="18" spans="1:22" ht="15.7" x14ac:dyDescent="0.55000000000000004">
      <c r="A18" s="92" t="s">
        <v>167</v>
      </c>
      <c r="B18" s="105">
        <v>55.05</v>
      </c>
      <c r="C18" s="106">
        <v>67.67</v>
      </c>
      <c r="D18" s="107">
        <v>53.82</v>
      </c>
      <c r="E18" s="107">
        <v>57.1</v>
      </c>
      <c r="F18" s="107">
        <v>57.1</v>
      </c>
      <c r="G18" s="107">
        <v>57.48</v>
      </c>
      <c r="H18" s="107">
        <v>57.48</v>
      </c>
      <c r="I18" s="107">
        <v>68.77</v>
      </c>
      <c r="J18" s="135"/>
      <c r="K18" s="107">
        <v>68.77</v>
      </c>
      <c r="L18" s="107">
        <v>68.77</v>
      </c>
      <c r="M18" s="107">
        <v>68.77</v>
      </c>
      <c r="N18" s="107">
        <v>68.77</v>
      </c>
      <c r="O18" s="100" t="s">
        <v>69</v>
      </c>
      <c r="P18" s="101">
        <f t="shared" si="1"/>
        <v>749.55</v>
      </c>
      <c r="Q18" s="109"/>
      <c r="R18" s="143"/>
    </row>
    <row r="19" spans="1:22" ht="15.7" x14ac:dyDescent="0.55000000000000004">
      <c r="A19" s="92" t="s">
        <v>162</v>
      </c>
      <c r="B19" s="105">
        <v>101.67</v>
      </c>
      <c r="C19" s="106">
        <v>54.66</v>
      </c>
      <c r="D19" s="107">
        <v>82.33</v>
      </c>
      <c r="E19" s="107">
        <v>97.95</v>
      </c>
      <c r="F19" s="107">
        <v>88.5</v>
      </c>
      <c r="G19" s="107">
        <v>33.92</v>
      </c>
      <c r="H19" s="107">
        <v>27.3</v>
      </c>
      <c r="I19" s="107">
        <v>23.29</v>
      </c>
      <c r="J19" s="135"/>
      <c r="K19" s="101">
        <v>27.94</v>
      </c>
      <c r="L19" s="107">
        <v>27.94</v>
      </c>
      <c r="M19" s="107">
        <v>103.17</v>
      </c>
      <c r="N19" s="107">
        <v>104.89</v>
      </c>
      <c r="O19" s="100" t="s">
        <v>69</v>
      </c>
      <c r="P19" s="101">
        <f t="shared" si="1"/>
        <v>773.56000000000006</v>
      </c>
      <c r="Q19" s="101"/>
    </row>
    <row r="20" spans="1:22" ht="14.25" customHeight="1" x14ac:dyDescent="0.55000000000000004">
      <c r="A20" s="92" t="s">
        <v>20</v>
      </c>
      <c r="B20" s="105">
        <v>303</v>
      </c>
      <c r="C20" s="105">
        <v>303</v>
      </c>
      <c r="D20" s="105">
        <v>303</v>
      </c>
      <c r="E20" s="105">
        <v>303</v>
      </c>
      <c r="F20" s="105">
        <v>303</v>
      </c>
      <c r="G20" s="105">
        <v>303</v>
      </c>
      <c r="H20" s="105">
        <v>303</v>
      </c>
      <c r="I20" s="105">
        <v>303</v>
      </c>
      <c r="J20" s="135"/>
      <c r="K20" s="105">
        <v>303</v>
      </c>
      <c r="L20" s="105">
        <v>303</v>
      </c>
      <c r="M20" s="105">
        <v>303</v>
      </c>
      <c r="N20" s="105">
        <v>318</v>
      </c>
      <c r="O20" s="100" t="s">
        <v>69</v>
      </c>
      <c r="P20" s="101">
        <f t="shared" si="1"/>
        <v>3651</v>
      </c>
      <c r="Q20" s="101"/>
    </row>
    <row r="21" spans="1:22" ht="14.25" customHeight="1" x14ac:dyDescent="0.55000000000000004">
      <c r="A21" s="92" t="s">
        <v>163</v>
      </c>
      <c r="B21" s="105">
        <f>82+500</f>
        <v>582</v>
      </c>
      <c r="C21" s="105">
        <v>500</v>
      </c>
      <c r="D21" s="105">
        <v>500</v>
      </c>
      <c r="E21" s="105"/>
      <c r="F21" s="105"/>
      <c r="G21" s="105"/>
      <c r="H21" s="105"/>
      <c r="I21" s="105">
        <v>50</v>
      </c>
      <c r="J21" s="135"/>
      <c r="K21" s="105">
        <v>100</v>
      </c>
      <c r="L21" s="105"/>
      <c r="M21" s="105"/>
      <c r="N21" s="105"/>
      <c r="O21" s="105"/>
      <c r="P21" s="101"/>
      <c r="Q21" s="101"/>
    </row>
    <row r="22" spans="1:22" ht="15" customHeight="1" x14ac:dyDescent="0.55000000000000004">
      <c r="A22" s="92" t="s">
        <v>24</v>
      </c>
      <c r="B22" s="105">
        <v>50</v>
      </c>
      <c r="C22" s="105">
        <v>50</v>
      </c>
      <c r="D22" s="105">
        <v>50</v>
      </c>
      <c r="E22" s="105">
        <v>50</v>
      </c>
      <c r="F22" s="105">
        <v>50</v>
      </c>
      <c r="G22" s="105">
        <v>50</v>
      </c>
      <c r="H22" s="105">
        <v>50</v>
      </c>
      <c r="I22" s="105">
        <v>50</v>
      </c>
      <c r="J22" s="135"/>
      <c r="K22" s="105">
        <v>50</v>
      </c>
      <c r="L22" s="105">
        <v>50</v>
      </c>
      <c r="M22" s="105">
        <v>50</v>
      </c>
      <c r="N22" s="105">
        <v>50</v>
      </c>
      <c r="O22" s="100" t="s">
        <v>69</v>
      </c>
      <c r="P22" s="101">
        <f>SUM(B22:N22)</f>
        <v>600</v>
      </c>
      <c r="Q22" s="101"/>
      <c r="R22" s="91"/>
    </row>
    <row r="23" spans="1:22" ht="15" customHeight="1" x14ac:dyDescent="0.5">
      <c r="A23" s="92" t="s">
        <v>158</v>
      </c>
      <c r="B23" s="105"/>
      <c r="C23" s="105"/>
      <c r="D23" s="105"/>
      <c r="E23" s="105"/>
      <c r="F23" s="105"/>
      <c r="G23" s="105"/>
      <c r="H23" s="105"/>
      <c r="I23" s="105"/>
      <c r="J23" s="108"/>
      <c r="K23" s="105"/>
      <c r="L23" s="105"/>
      <c r="M23" s="105"/>
      <c r="N23" s="105"/>
      <c r="O23" s="105"/>
      <c r="P23" s="101"/>
      <c r="Q23" s="101"/>
      <c r="R23" s="91"/>
    </row>
    <row r="24" spans="1:22" ht="15.7" x14ac:dyDescent="0.55000000000000004">
      <c r="A24" s="92" t="s">
        <v>169</v>
      </c>
      <c r="B24" s="105">
        <v>68.349999999999994</v>
      </c>
      <c r="C24" s="106">
        <v>61.39</v>
      </c>
      <c r="D24" s="107">
        <v>52.25</v>
      </c>
      <c r="E24" s="107">
        <v>40.770000000000003</v>
      </c>
      <c r="F24" s="107">
        <v>32.81</v>
      </c>
      <c r="G24" s="107">
        <v>124.51</v>
      </c>
      <c r="H24" s="107">
        <v>186.9</v>
      </c>
      <c r="I24" s="107">
        <v>167.55</v>
      </c>
      <c r="J24" s="135"/>
      <c r="K24" s="101">
        <v>152.57</v>
      </c>
      <c r="L24" s="107">
        <v>118.27</v>
      </c>
      <c r="M24" s="107">
        <v>88.49</v>
      </c>
      <c r="N24" s="107">
        <v>76.84</v>
      </c>
      <c r="O24" s="100" t="s">
        <v>69</v>
      </c>
      <c r="P24" s="101">
        <f t="shared" ref="P24:P32" si="2">SUM(B24:N24)</f>
        <v>1170.6999999999998</v>
      </c>
      <c r="Q24" s="101"/>
      <c r="R24" s="91"/>
    </row>
    <row r="25" spans="1:22" ht="15.7" x14ac:dyDescent="0.55000000000000004">
      <c r="A25" s="92" t="s">
        <v>36</v>
      </c>
      <c r="B25" s="105">
        <v>155</v>
      </c>
      <c r="C25" s="106"/>
      <c r="D25" s="107"/>
      <c r="E25" s="107"/>
      <c r="F25" s="107">
        <v>0</v>
      </c>
      <c r="G25" s="107"/>
      <c r="H25" s="107">
        <v>125</v>
      </c>
      <c r="I25" s="107">
        <v>125</v>
      </c>
      <c r="J25" s="135"/>
      <c r="K25" s="101">
        <v>125</v>
      </c>
      <c r="L25" s="107">
        <v>125</v>
      </c>
      <c r="M25" s="107">
        <v>125</v>
      </c>
      <c r="N25" s="107">
        <v>130</v>
      </c>
      <c r="O25" s="100" t="s">
        <v>69</v>
      </c>
      <c r="P25" s="101">
        <f t="shared" si="2"/>
        <v>910</v>
      </c>
      <c r="Q25" s="101"/>
    </row>
    <row r="26" spans="1:22" ht="15.7" x14ac:dyDescent="0.55000000000000004">
      <c r="A26" s="92" t="s">
        <v>122</v>
      </c>
      <c r="B26" s="105">
        <v>45</v>
      </c>
      <c r="C26" s="106"/>
      <c r="D26" s="107"/>
      <c r="E26" s="105"/>
      <c r="F26" s="110">
        <v>0</v>
      </c>
      <c r="G26" s="107"/>
      <c r="H26" s="107">
        <v>0</v>
      </c>
      <c r="I26" s="107"/>
      <c r="J26" s="110"/>
      <c r="K26" s="101">
        <v>50</v>
      </c>
      <c r="L26" s="107">
        <v>50</v>
      </c>
      <c r="M26" s="107">
        <v>50</v>
      </c>
      <c r="N26" s="107">
        <v>53</v>
      </c>
      <c r="O26" s="100" t="s">
        <v>69</v>
      </c>
      <c r="P26" s="101">
        <f t="shared" si="2"/>
        <v>248</v>
      </c>
      <c r="Q26" s="101"/>
    </row>
    <row r="27" spans="1:22" x14ac:dyDescent="0.5">
      <c r="A27" s="92" t="s">
        <v>164</v>
      </c>
      <c r="B27" s="105">
        <v>625</v>
      </c>
      <c r="C27" s="106"/>
      <c r="D27" s="107"/>
      <c r="E27" s="105"/>
      <c r="F27" s="110"/>
      <c r="G27" s="107"/>
      <c r="H27" s="107"/>
      <c r="I27" s="107"/>
      <c r="J27" s="110"/>
      <c r="K27" s="101"/>
      <c r="L27" s="110"/>
      <c r="M27" s="107"/>
      <c r="N27" s="107"/>
      <c r="O27" s="107"/>
      <c r="P27" s="101">
        <f t="shared" si="2"/>
        <v>625</v>
      </c>
      <c r="Q27" s="101"/>
    </row>
    <row r="28" spans="1:22" ht="15.7" x14ac:dyDescent="0.55000000000000004">
      <c r="A28" s="92" t="s">
        <v>166</v>
      </c>
      <c r="B28" s="105">
        <v>70</v>
      </c>
      <c r="C28" s="106">
        <v>70</v>
      </c>
      <c r="D28" s="107">
        <v>70</v>
      </c>
      <c r="E28" s="105">
        <v>70</v>
      </c>
      <c r="F28" s="107">
        <v>70</v>
      </c>
      <c r="G28" s="107">
        <v>70</v>
      </c>
      <c r="H28" s="107">
        <v>70</v>
      </c>
      <c r="I28" s="107">
        <v>70</v>
      </c>
      <c r="J28" s="135"/>
      <c r="K28" s="101">
        <v>120</v>
      </c>
      <c r="L28" s="107">
        <v>120</v>
      </c>
      <c r="M28" s="107">
        <v>120</v>
      </c>
      <c r="N28" s="107">
        <v>120</v>
      </c>
      <c r="O28" s="100" t="s">
        <v>69</v>
      </c>
      <c r="P28" s="101">
        <f t="shared" si="2"/>
        <v>1040</v>
      </c>
      <c r="Q28" s="101"/>
    </row>
    <row r="29" spans="1:22" ht="15.7" x14ac:dyDescent="0.55000000000000004">
      <c r="A29" s="92" t="s">
        <v>109</v>
      </c>
      <c r="B29" s="105">
        <v>170.14</v>
      </c>
      <c r="C29" s="106">
        <v>169.99</v>
      </c>
      <c r="D29" s="106">
        <v>169.99</v>
      </c>
      <c r="E29" s="106">
        <v>169.99</v>
      </c>
      <c r="F29" s="106">
        <v>170.14</v>
      </c>
      <c r="G29" s="106">
        <v>170.23</v>
      </c>
      <c r="H29" s="106">
        <v>176.92</v>
      </c>
      <c r="I29" s="106">
        <v>182.11</v>
      </c>
      <c r="J29" s="135"/>
      <c r="K29" s="106">
        <v>182.11</v>
      </c>
      <c r="L29" s="106">
        <v>182.11</v>
      </c>
      <c r="M29" s="106">
        <v>92.47</v>
      </c>
      <c r="N29" s="106">
        <v>182.47</v>
      </c>
      <c r="O29" s="100" t="s">
        <v>69</v>
      </c>
      <c r="P29" s="101">
        <f t="shared" si="2"/>
        <v>2018.6700000000005</v>
      </c>
      <c r="Q29" s="101"/>
      <c r="S29" s="91"/>
      <c r="V29" s="91"/>
    </row>
    <row r="30" spans="1:22" ht="15.7" x14ac:dyDescent="0.55000000000000004">
      <c r="A30" s="92" t="s">
        <v>165</v>
      </c>
      <c r="B30" s="105">
        <v>97.4</v>
      </c>
      <c r="C30" s="105">
        <v>92.66</v>
      </c>
      <c r="D30" s="105">
        <v>95.03</v>
      </c>
      <c r="E30" s="105">
        <v>95.16</v>
      </c>
      <c r="F30" s="105">
        <v>95.16</v>
      </c>
      <c r="G30" s="105">
        <v>95.16</v>
      </c>
      <c r="H30" s="105">
        <v>95.21</v>
      </c>
      <c r="I30" s="105">
        <v>95.21</v>
      </c>
      <c r="J30" s="135"/>
      <c r="K30" s="105">
        <v>95.21</v>
      </c>
      <c r="L30" s="105">
        <v>95.16</v>
      </c>
      <c r="M30" s="105">
        <v>95.43</v>
      </c>
      <c r="N30" s="105">
        <v>95.43</v>
      </c>
      <c r="O30" s="100" t="s">
        <v>69</v>
      </c>
      <c r="P30" s="101">
        <f t="shared" si="2"/>
        <v>1142.22</v>
      </c>
      <c r="Q30" s="101"/>
      <c r="S30" s="91"/>
    </row>
    <row r="31" spans="1:22" x14ac:dyDescent="0.5">
      <c r="A31" s="92" t="s">
        <v>141</v>
      </c>
      <c r="B31" s="105">
        <f>62+92.5</f>
        <v>154.5</v>
      </c>
      <c r="C31" s="106"/>
      <c r="D31" s="107"/>
      <c r="E31" s="106"/>
      <c r="F31" s="105">
        <v>0</v>
      </c>
      <c r="G31" s="105">
        <v>40.520000000000003</v>
      </c>
      <c r="H31" s="105"/>
      <c r="I31" s="105"/>
      <c r="J31" s="108"/>
      <c r="K31" s="111"/>
      <c r="L31" s="105"/>
      <c r="M31" s="105"/>
      <c r="N31" s="105"/>
      <c r="O31" s="105"/>
      <c r="P31" s="101">
        <f t="shared" si="2"/>
        <v>195.02</v>
      </c>
      <c r="Q31" s="101"/>
    </row>
    <row r="32" spans="1:22" ht="15.7" x14ac:dyDescent="0.55000000000000004">
      <c r="A32" s="92" t="s">
        <v>29</v>
      </c>
      <c r="B32" s="112">
        <v>475</v>
      </c>
      <c r="C32" s="112">
        <v>475</v>
      </c>
      <c r="D32" s="112">
        <v>475</v>
      </c>
      <c r="E32" s="112">
        <v>620</v>
      </c>
      <c r="F32" s="112">
        <v>620</v>
      </c>
      <c r="G32" s="112">
        <v>620</v>
      </c>
      <c r="H32" s="112">
        <v>620</v>
      </c>
      <c r="I32" s="112">
        <v>620</v>
      </c>
      <c r="J32" s="135"/>
      <c r="K32" s="112">
        <v>620</v>
      </c>
      <c r="L32" s="112">
        <v>425</v>
      </c>
      <c r="M32" s="112">
        <v>560</v>
      </c>
      <c r="N32" s="112">
        <v>560</v>
      </c>
      <c r="O32" s="100" t="s">
        <v>69</v>
      </c>
      <c r="P32" s="103">
        <f t="shared" si="2"/>
        <v>6690</v>
      </c>
      <c r="Q32" s="109"/>
    </row>
    <row r="33" spans="1:20" x14ac:dyDescent="0.5">
      <c r="A33" s="91"/>
      <c r="B33" s="113">
        <f>SUM(B11:B32)</f>
        <v>4409.16</v>
      </c>
      <c r="C33" s="113">
        <f t="shared" ref="C33:P33" si="3">SUM(C11:C32)</f>
        <v>2259.37</v>
      </c>
      <c r="D33" s="113">
        <f t="shared" si="3"/>
        <v>2732.4200000000005</v>
      </c>
      <c r="E33" s="113">
        <f t="shared" si="3"/>
        <v>1918.9700000000003</v>
      </c>
      <c r="F33" s="113">
        <f t="shared" si="3"/>
        <v>1901.7100000000003</v>
      </c>
      <c r="G33" s="113">
        <f t="shared" si="3"/>
        <v>2445.8200000000002</v>
      </c>
      <c r="H33" s="113">
        <f t="shared" si="3"/>
        <v>2176.8100000000004</v>
      </c>
      <c r="I33" s="113">
        <f t="shared" si="3"/>
        <v>2239.9299999999998</v>
      </c>
      <c r="J33" s="138"/>
      <c r="K33" s="113">
        <f t="shared" si="3"/>
        <v>2876.65</v>
      </c>
      <c r="L33" s="113">
        <f t="shared" si="3"/>
        <v>1980.2500000000002</v>
      </c>
      <c r="M33" s="113">
        <f t="shared" si="3"/>
        <v>2071.33</v>
      </c>
      <c r="N33" s="113">
        <f t="shared" si="3"/>
        <v>2174.4</v>
      </c>
      <c r="O33" s="113"/>
      <c r="P33" s="113">
        <f t="shared" si="3"/>
        <v>27054.820000000003</v>
      </c>
      <c r="Q33" s="113"/>
    </row>
    <row r="34" spans="1:20" x14ac:dyDescent="0.5">
      <c r="A34" s="92" t="s">
        <v>136</v>
      </c>
      <c r="B34" s="105"/>
      <c r="C34" s="105"/>
      <c r="G34" s="91"/>
      <c r="H34" s="91"/>
      <c r="I34" s="91"/>
      <c r="K34" s="91"/>
      <c r="L34" s="91"/>
      <c r="M34" s="91"/>
      <c r="N34" s="91"/>
      <c r="O34" s="91"/>
    </row>
    <row r="35" spans="1:20" x14ac:dyDescent="0.5">
      <c r="A35" s="92" t="s">
        <v>89</v>
      </c>
      <c r="B35" s="114">
        <v>200</v>
      </c>
      <c r="C35" s="114">
        <v>200</v>
      </c>
      <c r="D35" s="114">
        <v>200</v>
      </c>
      <c r="E35" s="114">
        <v>100</v>
      </c>
      <c r="F35" s="114">
        <v>100</v>
      </c>
      <c r="G35" s="114">
        <v>50</v>
      </c>
      <c r="H35" s="114">
        <v>100</v>
      </c>
      <c r="I35" s="114">
        <v>100</v>
      </c>
      <c r="J35" s="139"/>
      <c r="K35" s="114">
        <v>100</v>
      </c>
      <c r="L35" s="114">
        <v>100</v>
      </c>
      <c r="M35" s="114">
        <v>100</v>
      </c>
      <c r="N35" s="114">
        <v>100</v>
      </c>
      <c r="O35" s="114"/>
      <c r="P35" s="101">
        <f>SUM(B35:N35)</f>
        <v>1450</v>
      </c>
      <c r="Q35" s="101"/>
    </row>
    <row r="36" spans="1:20" x14ac:dyDescent="0.5">
      <c r="A36" s="92" t="s">
        <v>33</v>
      </c>
      <c r="B36" s="114">
        <v>300</v>
      </c>
      <c r="C36" s="114">
        <v>300</v>
      </c>
      <c r="D36" s="114">
        <v>300</v>
      </c>
      <c r="E36" s="114">
        <v>300</v>
      </c>
      <c r="F36" s="115">
        <v>300</v>
      </c>
      <c r="G36" s="115">
        <v>140</v>
      </c>
      <c r="H36" s="115">
        <v>200</v>
      </c>
      <c r="I36" s="115">
        <v>300</v>
      </c>
      <c r="J36" s="140"/>
      <c r="K36" s="115">
        <v>300</v>
      </c>
      <c r="L36" s="115">
        <v>300</v>
      </c>
      <c r="M36" s="115">
        <v>300</v>
      </c>
      <c r="N36" s="115">
        <v>300</v>
      </c>
      <c r="O36" s="115"/>
      <c r="P36" s="101">
        <f>SUM(B36:N36)</f>
        <v>3340</v>
      </c>
      <c r="Q36" s="101"/>
      <c r="T36" s="91"/>
    </row>
    <row r="37" spans="1:20" x14ac:dyDescent="0.5">
      <c r="A37" s="92" t="s">
        <v>34</v>
      </c>
      <c r="B37" s="116">
        <v>120</v>
      </c>
      <c r="C37" s="116">
        <v>120</v>
      </c>
      <c r="D37" s="117">
        <v>120</v>
      </c>
      <c r="E37" s="117">
        <v>120</v>
      </c>
      <c r="F37" s="118">
        <v>120</v>
      </c>
      <c r="G37" s="118">
        <v>120</v>
      </c>
      <c r="H37" s="118">
        <v>75</v>
      </c>
      <c r="I37" s="118">
        <v>120</v>
      </c>
      <c r="J37" s="141"/>
      <c r="K37" s="118">
        <v>120</v>
      </c>
      <c r="L37" s="118">
        <v>120</v>
      </c>
      <c r="M37" s="118">
        <v>120</v>
      </c>
      <c r="N37" s="118">
        <v>120</v>
      </c>
      <c r="O37" s="118"/>
      <c r="P37" s="103">
        <f>SUM(B37:N37)</f>
        <v>1395</v>
      </c>
      <c r="Q37" s="101"/>
    </row>
    <row r="38" spans="1:20" x14ac:dyDescent="0.5">
      <c r="B38" s="113">
        <f>SUM(B35:B37)</f>
        <v>620</v>
      </c>
      <c r="C38" s="113">
        <f t="shared" ref="C38:N38" si="4">SUM(C35:C37)</f>
        <v>620</v>
      </c>
      <c r="D38" s="113">
        <f t="shared" si="4"/>
        <v>620</v>
      </c>
      <c r="E38" s="113">
        <f t="shared" si="4"/>
        <v>520</v>
      </c>
      <c r="F38" s="113">
        <f t="shared" si="4"/>
        <v>520</v>
      </c>
      <c r="G38" s="113">
        <f t="shared" si="4"/>
        <v>310</v>
      </c>
      <c r="H38" s="113">
        <f t="shared" si="4"/>
        <v>375</v>
      </c>
      <c r="I38" s="113">
        <f t="shared" si="4"/>
        <v>520</v>
      </c>
      <c r="J38" s="138"/>
      <c r="K38" s="113">
        <f t="shared" si="4"/>
        <v>520</v>
      </c>
      <c r="L38" s="113">
        <f t="shared" si="4"/>
        <v>520</v>
      </c>
      <c r="M38" s="113">
        <f t="shared" si="4"/>
        <v>520</v>
      </c>
      <c r="N38" s="113">
        <f t="shared" si="4"/>
        <v>520</v>
      </c>
      <c r="O38" s="113"/>
      <c r="P38" s="113">
        <f>P33+SUM(P35:P37)</f>
        <v>33239.820000000007</v>
      </c>
      <c r="Q38" s="113"/>
      <c r="R38" s="119"/>
    </row>
    <row r="39" spans="1:20" x14ac:dyDescent="0.5">
      <c r="B39" s="105"/>
      <c r="C39" s="105"/>
      <c r="D39" s="120"/>
      <c r="K39" s="91"/>
      <c r="L39" s="91"/>
      <c r="M39" s="91"/>
      <c r="N39" s="91"/>
      <c r="O39" s="91"/>
      <c r="R39" s="98"/>
    </row>
    <row r="40" spans="1:20" x14ac:dyDescent="0.5">
      <c r="A40" s="92" t="s">
        <v>137</v>
      </c>
      <c r="B40" s="121">
        <f>B33+B38</f>
        <v>5029.16</v>
      </c>
      <c r="C40" s="121">
        <f t="shared" ref="C40:N40" si="5">C33+C38</f>
        <v>2879.37</v>
      </c>
      <c r="D40" s="121">
        <f t="shared" si="5"/>
        <v>3352.4200000000005</v>
      </c>
      <c r="E40" s="121">
        <f t="shared" si="5"/>
        <v>2438.9700000000003</v>
      </c>
      <c r="F40" s="121">
        <f t="shared" si="5"/>
        <v>2421.71</v>
      </c>
      <c r="G40" s="121">
        <f t="shared" si="5"/>
        <v>2755.82</v>
      </c>
      <c r="H40" s="121">
        <f t="shared" si="5"/>
        <v>2551.8100000000004</v>
      </c>
      <c r="I40" s="121">
        <f t="shared" si="5"/>
        <v>2759.93</v>
      </c>
      <c r="J40" s="142"/>
      <c r="K40" s="121">
        <f t="shared" si="5"/>
        <v>3396.65</v>
      </c>
      <c r="L40" s="121">
        <f t="shared" si="5"/>
        <v>2500.25</v>
      </c>
      <c r="M40" s="121">
        <f t="shared" si="5"/>
        <v>2591.33</v>
      </c>
      <c r="N40" s="121">
        <f t="shared" si="5"/>
        <v>2694.4</v>
      </c>
      <c r="O40" s="121"/>
      <c r="P40" s="101">
        <f>SUM(B40:N40)</f>
        <v>35371.820000000007</v>
      </c>
      <c r="Q40" s="101"/>
      <c r="R40" s="98"/>
      <c r="T40" s="91"/>
    </row>
    <row r="41" spans="1:20" x14ac:dyDescent="0.5">
      <c r="B41" s="105"/>
      <c r="C41" s="105"/>
      <c r="D41" s="122"/>
      <c r="R41" s="98"/>
      <c r="T41" s="91"/>
    </row>
    <row r="42" spans="1:20" x14ac:dyDescent="0.5">
      <c r="A42" s="91"/>
      <c r="B42" s="123">
        <f>B8-B40</f>
        <v>636.61000000000058</v>
      </c>
      <c r="C42" s="123">
        <f t="shared" ref="C42:N42" si="6">C8-C40</f>
        <v>27.630000000000109</v>
      </c>
      <c r="D42" s="123">
        <f t="shared" si="6"/>
        <v>-538.52000000000044</v>
      </c>
      <c r="E42" s="123">
        <f t="shared" si="6"/>
        <v>474.92999999999984</v>
      </c>
      <c r="F42" s="123">
        <f t="shared" si="6"/>
        <v>442.19000000000005</v>
      </c>
      <c r="G42" s="123">
        <f t="shared" si="6"/>
        <v>8.0799999999999272</v>
      </c>
      <c r="H42" s="123">
        <f t="shared" si="6"/>
        <v>312.08999999999969</v>
      </c>
      <c r="I42" s="123">
        <f t="shared" si="6"/>
        <v>103.97000000000025</v>
      </c>
      <c r="J42" s="126"/>
      <c r="K42" s="123">
        <f t="shared" si="6"/>
        <v>-532.75</v>
      </c>
      <c r="L42" s="123">
        <f t="shared" si="6"/>
        <v>413.65000000000009</v>
      </c>
      <c r="M42" s="123">
        <f t="shared" si="6"/>
        <v>272.57000000000016</v>
      </c>
      <c r="N42" s="123">
        <f t="shared" si="6"/>
        <v>219.5</v>
      </c>
      <c r="O42" s="123"/>
      <c r="P42" s="101">
        <f>SUM(B42:N42)</f>
        <v>1839.9500000000003</v>
      </c>
      <c r="Q42" s="101"/>
      <c r="R42" s="124"/>
      <c r="T42" s="91"/>
    </row>
    <row r="43" spans="1:20" x14ac:dyDescent="0.5">
      <c r="I43" s="91"/>
      <c r="R43" s="125"/>
    </row>
    <row r="44" spans="1:20" x14ac:dyDescent="0.5">
      <c r="A44" s="92" t="s">
        <v>149</v>
      </c>
      <c r="G44" s="122"/>
      <c r="K44" s="126"/>
      <c r="L44" s="91"/>
    </row>
    <row r="45" spans="1:20" x14ac:dyDescent="0.5">
      <c r="A45" s="92" t="s">
        <v>153</v>
      </c>
      <c r="K45" s="123"/>
      <c r="S45" s="123"/>
    </row>
    <row r="46" spans="1:20" x14ac:dyDescent="0.5">
      <c r="A46" s="92" t="s">
        <v>159</v>
      </c>
      <c r="G46" s="123"/>
      <c r="H46" s="123"/>
      <c r="I46" s="123"/>
      <c r="J46" s="126"/>
      <c r="R46" s="91"/>
      <c r="S46" s="123"/>
    </row>
    <row r="47" spans="1:20" x14ac:dyDescent="0.5">
      <c r="A47" s="92" t="s">
        <v>168</v>
      </c>
      <c r="I47" s="91"/>
      <c r="S47" s="123"/>
    </row>
    <row r="49" spans="1:10" x14ac:dyDescent="0.5">
      <c r="A49" s="91" t="s">
        <v>140</v>
      </c>
      <c r="B49" s="127">
        <v>10638.29</v>
      </c>
      <c r="C49" s="123"/>
      <c r="D49" s="123"/>
      <c r="E49" s="123"/>
      <c r="F49" s="123"/>
      <c r="G49" s="123"/>
      <c r="H49" s="123"/>
      <c r="I49" s="123"/>
      <c r="J49" s="126"/>
    </row>
    <row r="50" spans="1:10" x14ac:dyDescent="0.5">
      <c r="A50" s="92" t="s">
        <v>111</v>
      </c>
      <c r="B50" s="105">
        <v>-1595.74</v>
      </c>
    </row>
    <row r="51" spans="1:10" x14ac:dyDescent="0.5">
      <c r="A51" s="92" t="s">
        <v>110</v>
      </c>
      <c r="B51" s="118">
        <v>-542.54999999999995</v>
      </c>
    </row>
    <row r="52" spans="1:10" x14ac:dyDescent="0.5">
      <c r="A52" s="92" t="s">
        <v>112</v>
      </c>
      <c r="B52" s="123">
        <f>SUM(B49:B51)</f>
        <v>8500.0000000000018</v>
      </c>
      <c r="C52" s="123"/>
    </row>
    <row r="53" spans="1:10" x14ac:dyDescent="0.5">
      <c r="D53" s="122"/>
    </row>
    <row r="54" spans="1:10" x14ac:dyDescent="0.5">
      <c r="A54" s="92" t="s">
        <v>143</v>
      </c>
      <c r="B54" s="128">
        <f>82+466</f>
        <v>548</v>
      </c>
    </row>
    <row r="55" spans="1:10" x14ac:dyDescent="0.5">
      <c r="A55" s="92" t="s">
        <v>142</v>
      </c>
      <c r="B55" s="128">
        <v>1100</v>
      </c>
    </row>
    <row r="56" spans="1:10" x14ac:dyDescent="0.5">
      <c r="A56" s="92" t="s">
        <v>148</v>
      </c>
      <c r="B56" s="114">
        <f>SUM(295*7)</f>
        <v>2065</v>
      </c>
    </row>
    <row r="57" spans="1:10" x14ac:dyDescent="0.5">
      <c r="A57" s="92" t="s">
        <v>144</v>
      </c>
      <c r="B57" s="129">
        <v>545</v>
      </c>
    </row>
    <row r="58" spans="1:10" x14ac:dyDescent="0.5">
      <c r="A58" s="92" t="s">
        <v>146</v>
      </c>
      <c r="B58" s="129">
        <v>206</v>
      </c>
    </row>
    <row r="59" spans="1:10" x14ac:dyDescent="0.5">
      <c r="B59" s="129"/>
    </row>
    <row r="60" spans="1:10" x14ac:dyDescent="0.5">
      <c r="A60" s="92" t="s">
        <v>145</v>
      </c>
      <c r="B60" s="129">
        <v>180.68</v>
      </c>
      <c r="C60" s="91"/>
    </row>
    <row r="61" spans="1:10" x14ac:dyDescent="0.5">
      <c r="A61" s="92" t="s">
        <v>147</v>
      </c>
      <c r="B61" s="130">
        <f>625+1700+154</f>
        <v>2479</v>
      </c>
    </row>
    <row r="62" spans="1:10" x14ac:dyDescent="0.5">
      <c r="A62" s="92" t="s">
        <v>45</v>
      </c>
      <c r="B62" s="131">
        <f>SUM(B54:B61)</f>
        <v>7123.68</v>
      </c>
    </row>
    <row r="64" spans="1:10" x14ac:dyDescent="0.5">
      <c r="A64" s="91" t="s">
        <v>151</v>
      </c>
      <c r="B64" s="92">
        <v>9078.76</v>
      </c>
      <c r="F64" s="125"/>
    </row>
    <row r="65" spans="1:6" x14ac:dyDescent="0.5">
      <c r="A65" s="92" t="s">
        <v>152</v>
      </c>
      <c r="B65" s="92">
        <v>-1815.75</v>
      </c>
      <c r="F65" s="125"/>
    </row>
    <row r="66" spans="1:6" ht="15.7" thickBot="1" x14ac:dyDescent="0.55000000000000004">
      <c r="A66" s="92" t="s">
        <v>110</v>
      </c>
      <c r="B66" s="132">
        <v>-463.01</v>
      </c>
      <c r="F66" s="120"/>
    </row>
    <row r="67" spans="1:6" x14ac:dyDescent="0.5">
      <c r="A67" s="92" t="s">
        <v>112</v>
      </c>
      <c r="B67" s="105">
        <v>6800</v>
      </c>
      <c r="F67" s="120"/>
    </row>
    <row r="68" spans="1:6" x14ac:dyDescent="0.5">
      <c r="F68" s="98"/>
    </row>
    <row r="69" spans="1:6" x14ac:dyDescent="0.5">
      <c r="A69" s="91" t="s">
        <v>154</v>
      </c>
      <c r="B69" s="131">
        <v>15018.77</v>
      </c>
      <c r="D69" s="91"/>
    </row>
    <row r="70" spans="1:6" x14ac:dyDescent="0.5">
      <c r="A70" s="92" t="s">
        <v>155</v>
      </c>
      <c r="B70" s="131">
        <v>-2252.81</v>
      </c>
      <c r="D70" s="98"/>
    </row>
    <row r="71" spans="1:6" x14ac:dyDescent="0.5">
      <c r="A71" s="92" t="s">
        <v>110</v>
      </c>
      <c r="B71" s="94">
        <v>-765.96</v>
      </c>
    </row>
    <row r="72" spans="1:6" x14ac:dyDescent="0.5">
      <c r="A72" s="92" t="s">
        <v>112</v>
      </c>
      <c r="B72" s="131">
        <v>12000</v>
      </c>
    </row>
    <row r="74" spans="1:6" x14ac:dyDescent="0.5">
      <c r="A74" s="92" t="s">
        <v>156</v>
      </c>
    </row>
    <row r="75" spans="1:6" x14ac:dyDescent="0.5">
      <c r="A75" s="92" t="s">
        <v>157</v>
      </c>
    </row>
    <row r="77" spans="1:6" x14ac:dyDescent="0.5">
      <c r="A77" s="133" t="s">
        <v>170</v>
      </c>
      <c r="B77" s="105">
        <v>6883.6</v>
      </c>
      <c r="C77" s="105"/>
    </row>
    <row r="78" spans="1:6" x14ac:dyDescent="0.5">
      <c r="A78" s="92" t="s">
        <v>155</v>
      </c>
      <c r="B78" s="105">
        <v>-1032.54</v>
      </c>
    </row>
    <row r="79" spans="1:6" x14ac:dyDescent="0.5">
      <c r="A79" s="92" t="s">
        <v>171</v>
      </c>
      <c r="B79" s="118">
        <v>-351.06</v>
      </c>
    </row>
    <row r="80" spans="1:6" x14ac:dyDescent="0.5">
      <c r="A80" s="92" t="s">
        <v>112</v>
      </c>
      <c r="B80" s="131">
        <v>5500</v>
      </c>
    </row>
    <row r="82" spans="1:2" x14ac:dyDescent="0.5">
      <c r="A82" s="91" t="s">
        <v>172</v>
      </c>
      <c r="B82" s="131">
        <v>13478.82</v>
      </c>
    </row>
    <row r="83" spans="1:2" x14ac:dyDescent="0.5">
      <c r="A83" s="92" t="s">
        <v>173</v>
      </c>
      <c r="B83" s="105">
        <v>-2291.39</v>
      </c>
    </row>
    <row r="84" spans="1:2" x14ac:dyDescent="0.5">
      <c r="A84" s="92" t="s">
        <v>110</v>
      </c>
      <c r="B84" s="94">
        <v>-687.42</v>
      </c>
    </row>
    <row r="85" spans="1:2" x14ac:dyDescent="0.5">
      <c r="A85" s="92" t="s">
        <v>112</v>
      </c>
      <c r="B85" s="131">
        <v>10500.01</v>
      </c>
    </row>
    <row r="87" spans="1:2" x14ac:dyDescent="0.5">
      <c r="A87" s="92" t="s">
        <v>175</v>
      </c>
    </row>
    <row r="88" spans="1:2" x14ac:dyDescent="0.5">
      <c r="A88" s="92" t="s">
        <v>174</v>
      </c>
    </row>
  </sheetData>
  <phoneticPr fontId="3" type="noConversion"/>
  <pageMargins left="0.5" right="0.5" top="0.5" bottom="0.5" header="0.5" footer="0.5"/>
  <pageSetup scale="52" orientation="landscape" r:id="rId1"/>
  <headerFooter alignWithMargins="0">
    <oddHeader>&amp;C INCOME &amp; EXPENSES
2017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3"/>
  <sheetViews>
    <sheetView zoomScaleNormal="100" workbookViewId="0">
      <pane xSplit="1" topLeftCell="B1" activePane="topRight" state="frozen"/>
      <selection pane="topRight" activeCell="B1" sqref="B1"/>
    </sheetView>
  </sheetViews>
  <sheetFormatPr defaultRowHeight="12.7" x14ac:dyDescent="0.4"/>
  <cols>
    <col min="1" max="1" width="32.41015625" customWidth="1"/>
    <col min="2" max="2" width="11.1171875" customWidth="1"/>
    <col min="3" max="3" width="10" customWidth="1"/>
    <col min="4" max="4" width="10.87890625" customWidth="1"/>
    <col min="5" max="5" width="10.5859375" customWidth="1"/>
    <col min="6" max="6" width="11.234375" customWidth="1"/>
    <col min="7" max="7" width="12.234375" customWidth="1"/>
    <col min="8" max="8" width="10.5859375" customWidth="1"/>
    <col min="9" max="9" width="11.1171875" customWidth="1"/>
    <col min="10" max="10" width="11" customWidth="1"/>
    <col min="11" max="12" width="12.703125" customWidth="1"/>
    <col min="13" max="13" width="12.1171875" customWidth="1"/>
    <col min="14" max="14" width="2.87890625" customWidth="1"/>
    <col min="15" max="15" width="12.1171875" customWidth="1"/>
    <col min="16" max="16" width="9.234375" customWidth="1"/>
    <col min="17" max="17" width="10.87890625" bestFit="1" customWidth="1"/>
  </cols>
  <sheetData>
    <row r="1" spans="1:16" x14ac:dyDescent="0.4">
      <c r="A1" s="2" t="s">
        <v>30</v>
      </c>
    </row>
    <row r="2" spans="1:16" x14ac:dyDescent="0.4">
      <c r="A2" s="2"/>
      <c r="B2" s="71" t="s">
        <v>41</v>
      </c>
      <c r="C2" s="40" t="s">
        <v>44</v>
      </c>
      <c r="D2" s="71" t="s">
        <v>120</v>
      </c>
      <c r="E2" s="71" t="s">
        <v>52</v>
      </c>
      <c r="F2" s="71" t="s">
        <v>47</v>
      </c>
      <c r="G2" s="71" t="s">
        <v>48</v>
      </c>
      <c r="H2" s="71" t="s">
        <v>0</v>
      </c>
      <c r="I2" s="71" t="s">
        <v>3</v>
      </c>
      <c r="J2" s="71" t="s">
        <v>10</v>
      </c>
      <c r="K2" s="71" t="s">
        <v>11</v>
      </c>
      <c r="L2" s="71" t="s">
        <v>12</v>
      </c>
      <c r="M2" s="71" t="s">
        <v>13</v>
      </c>
      <c r="N2" s="71"/>
      <c r="O2" s="83" t="s">
        <v>45</v>
      </c>
    </row>
    <row r="3" spans="1:16" x14ac:dyDescent="0.4">
      <c r="A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81">
        <f t="shared" ref="O3:O20" si="0">SUM(B3:M3)</f>
        <v>0</v>
      </c>
    </row>
    <row r="4" spans="1:16" ht="15.75" customHeight="1" x14ac:dyDescent="0.4">
      <c r="A4" s="51" t="s">
        <v>17</v>
      </c>
      <c r="B4" s="14">
        <v>50</v>
      </c>
      <c r="C4" s="14">
        <v>35</v>
      </c>
      <c r="D4" s="14">
        <v>50</v>
      </c>
      <c r="E4" s="14">
        <v>50</v>
      </c>
      <c r="F4" s="14">
        <v>50</v>
      </c>
      <c r="G4" s="14">
        <v>50</v>
      </c>
      <c r="H4" s="14">
        <v>50</v>
      </c>
      <c r="I4" s="14">
        <v>50</v>
      </c>
      <c r="J4" s="14">
        <v>50</v>
      </c>
      <c r="K4" s="14">
        <v>50</v>
      </c>
      <c r="L4" s="14">
        <v>50</v>
      </c>
      <c r="M4" s="14">
        <v>50</v>
      </c>
      <c r="N4" s="65" t="s">
        <v>69</v>
      </c>
      <c r="O4" s="81">
        <f t="shared" si="0"/>
        <v>585</v>
      </c>
    </row>
    <row r="5" spans="1:16" ht="14.25" customHeight="1" x14ac:dyDescent="0.4">
      <c r="A5" t="s">
        <v>130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70</v>
      </c>
      <c r="N5" s="65" t="s">
        <v>69</v>
      </c>
      <c r="O5" s="81">
        <f t="shared" si="0"/>
        <v>70</v>
      </c>
    </row>
    <row r="6" spans="1:16" ht="14.25" customHeight="1" x14ac:dyDescent="0.4">
      <c r="A6" t="s">
        <v>90</v>
      </c>
      <c r="B6" s="14">
        <f>852-284</f>
        <v>568</v>
      </c>
      <c r="C6" s="14"/>
      <c r="D6" s="14"/>
      <c r="E6" s="14">
        <v>852</v>
      </c>
      <c r="F6" s="14"/>
      <c r="G6" s="14">
        <v>852</v>
      </c>
      <c r="H6" s="14"/>
      <c r="I6" s="14"/>
      <c r="J6" s="14">
        <v>852</v>
      </c>
      <c r="K6" s="14"/>
      <c r="L6" s="14"/>
      <c r="M6" s="11"/>
      <c r="N6" s="11"/>
      <c r="O6" s="81">
        <f t="shared" si="0"/>
        <v>3124</v>
      </c>
    </row>
    <row r="7" spans="1:16" x14ac:dyDescent="0.4">
      <c r="A7" t="s">
        <v>124</v>
      </c>
      <c r="B7" s="14">
        <v>55.05</v>
      </c>
      <c r="C7" s="26">
        <v>53.82</v>
      </c>
      <c r="D7" s="65">
        <v>53.82</v>
      </c>
      <c r="E7" s="65">
        <v>54</v>
      </c>
      <c r="F7" s="65">
        <v>7</v>
      </c>
      <c r="G7" s="65">
        <v>7</v>
      </c>
      <c r="H7" s="65">
        <v>7</v>
      </c>
      <c r="I7" s="65">
        <v>7</v>
      </c>
      <c r="J7" s="65">
        <v>7</v>
      </c>
      <c r="K7" s="65">
        <v>53.82</v>
      </c>
      <c r="L7" s="65">
        <v>53.82</v>
      </c>
      <c r="M7" s="60">
        <v>69</v>
      </c>
      <c r="N7" s="65" t="s">
        <v>69</v>
      </c>
      <c r="O7" s="81">
        <f t="shared" si="0"/>
        <v>428.33</v>
      </c>
    </row>
    <row r="8" spans="1:16" x14ac:dyDescent="0.4">
      <c r="A8" s="51" t="s">
        <v>125</v>
      </c>
      <c r="B8" s="14">
        <v>123.44</v>
      </c>
      <c r="C8" s="26">
        <v>64.209999999999994</v>
      </c>
      <c r="D8" s="65">
        <v>80.739999999999995</v>
      </c>
      <c r="E8" s="65">
        <v>107.38</v>
      </c>
      <c r="F8" s="65">
        <v>92.03</v>
      </c>
      <c r="G8" s="65">
        <v>16.61</v>
      </c>
      <c r="H8" s="65">
        <v>17.34</v>
      </c>
      <c r="I8" s="65">
        <v>16.010000000000002</v>
      </c>
      <c r="J8" s="55">
        <v>16.22</v>
      </c>
      <c r="K8" s="65">
        <v>50.06</v>
      </c>
      <c r="L8" s="65">
        <v>16.309999999999999</v>
      </c>
      <c r="M8" s="60">
        <v>15</v>
      </c>
      <c r="N8" s="60"/>
      <c r="O8" s="81">
        <f t="shared" si="0"/>
        <v>615.34999999999991</v>
      </c>
      <c r="P8" s="2"/>
    </row>
    <row r="9" spans="1:16" ht="14.25" customHeight="1" x14ac:dyDescent="0.4">
      <c r="A9" t="s">
        <v>20</v>
      </c>
      <c r="B9" s="14">
        <v>303</v>
      </c>
      <c r="C9" s="14">
        <v>303</v>
      </c>
      <c r="D9" s="14">
        <v>303</v>
      </c>
      <c r="E9" s="14">
        <v>303</v>
      </c>
      <c r="F9" s="14">
        <v>303</v>
      </c>
      <c r="G9" s="14">
        <v>303</v>
      </c>
      <c r="H9" s="14">
        <v>303</v>
      </c>
      <c r="I9" s="14">
        <v>303</v>
      </c>
      <c r="J9" s="14">
        <v>303</v>
      </c>
      <c r="K9" s="14">
        <v>303</v>
      </c>
      <c r="L9" s="14">
        <v>303</v>
      </c>
      <c r="M9" s="14">
        <v>303</v>
      </c>
      <c r="N9" s="65" t="s">
        <v>69</v>
      </c>
      <c r="O9" s="81">
        <f t="shared" si="0"/>
        <v>3636</v>
      </c>
    </row>
    <row r="10" spans="1:16" ht="17.25" customHeight="1" x14ac:dyDescent="0.4">
      <c r="A10" t="s">
        <v>24</v>
      </c>
      <c r="B10" s="14">
        <v>40</v>
      </c>
      <c r="C10" s="14">
        <v>50</v>
      </c>
      <c r="D10" s="14">
        <v>25</v>
      </c>
      <c r="E10" s="14">
        <v>25</v>
      </c>
      <c r="F10" s="14">
        <v>25</v>
      </c>
      <c r="G10" s="14">
        <v>25</v>
      </c>
      <c r="H10" s="14"/>
      <c r="I10" s="14"/>
      <c r="J10" s="14"/>
      <c r="K10" s="14">
        <v>50</v>
      </c>
      <c r="L10" s="14"/>
      <c r="M10" s="65">
        <v>50</v>
      </c>
      <c r="N10" s="65" t="s">
        <v>69</v>
      </c>
      <c r="O10" s="81">
        <f t="shared" si="0"/>
        <v>290</v>
      </c>
    </row>
    <row r="11" spans="1:16" x14ac:dyDescent="0.4">
      <c r="A11" t="s">
        <v>121</v>
      </c>
      <c r="B11" s="14">
        <v>43.33</v>
      </c>
      <c r="C11" s="33">
        <v>50.3</v>
      </c>
      <c r="D11" s="65">
        <v>63.02</v>
      </c>
      <c r="E11" s="65">
        <v>50.42</v>
      </c>
      <c r="F11" s="65">
        <v>51.71</v>
      </c>
      <c r="G11" s="65">
        <v>119.86</v>
      </c>
      <c r="H11" s="65">
        <v>142.33000000000001</v>
      </c>
      <c r="I11" s="65">
        <v>162.52000000000001</v>
      </c>
      <c r="J11" s="55">
        <v>120.34</v>
      </c>
      <c r="K11" s="65">
        <v>118.27</v>
      </c>
      <c r="L11" s="65">
        <v>112.15</v>
      </c>
      <c r="M11" s="60">
        <v>107.05</v>
      </c>
      <c r="N11" s="65" t="s">
        <v>69</v>
      </c>
      <c r="O11" s="81">
        <f t="shared" si="0"/>
        <v>1141.3</v>
      </c>
    </row>
    <row r="12" spans="1:16" x14ac:dyDescent="0.4">
      <c r="A12" t="s">
        <v>36</v>
      </c>
      <c r="B12" s="14">
        <v>125</v>
      </c>
      <c r="C12" s="26">
        <v>125</v>
      </c>
      <c r="D12" s="65">
        <v>83</v>
      </c>
      <c r="E12" s="65"/>
      <c r="F12" s="65">
        <v>0</v>
      </c>
      <c r="G12" s="65"/>
      <c r="H12" s="65">
        <v>125</v>
      </c>
      <c r="I12" s="65">
        <v>125</v>
      </c>
      <c r="J12" s="55">
        <v>125</v>
      </c>
      <c r="K12" s="65">
        <v>125</v>
      </c>
      <c r="L12" s="65">
        <v>125</v>
      </c>
      <c r="M12" s="65">
        <v>125</v>
      </c>
      <c r="N12" s="65" t="s">
        <v>69</v>
      </c>
      <c r="O12" s="81">
        <f t="shared" si="0"/>
        <v>1083</v>
      </c>
    </row>
    <row r="13" spans="1:16" x14ac:dyDescent="0.4">
      <c r="A13" t="s">
        <v>122</v>
      </c>
      <c r="B13" s="14">
        <v>29.04</v>
      </c>
      <c r="C13" s="26"/>
      <c r="D13" s="65"/>
      <c r="E13" s="13"/>
      <c r="F13" s="28">
        <v>0</v>
      </c>
      <c r="G13" s="65"/>
      <c r="H13" s="65">
        <v>0</v>
      </c>
      <c r="I13" s="65"/>
      <c r="J13" s="55"/>
      <c r="K13" s="65">
        <v>50</v>
      </c>
      <c r="L13" s="65">
        <v>50</v>
      </c>
      <c r="M13" s="65">
        <v>50</v>
      </c>
      <c r="N13" s="65" t="s">
        <v>69</v>
      </c>
      <c r="O13" s="81">
        <f t="shared" si="0"/>
        <v>179.04</v>
      </c>
    </row>
    <row r="14" spans="1:16" x14ac:dyDescent="0.4">
      <c r="A14" t="s">
        <v>128</v>
      </c>
      <c r="B14" s="14">
        <v>560</v>
      </c>
      <c r="C14" s="26"/>
      <c r="D14" s="65"/>
      <c r="E14" s="13"/>
      <c r="F14" s="28"/>
      <c r="G14" s="65"/>
      <c r="H14" s="65"/>
      <c r="I14" s="65"/>
      <c r="J14" s="55"/>
      <c r="K14" s="28"/>
      <c r="L14" s="65"/>
      <c r="M14" s="65"/>
      <c r="N14" s="65"/>
      <c r="O14" s="81">
        <f t="shared" si="0"/>
        <v>560</v>
      </c>
    </row>
    <row r="15" spans="1:16" x14ac:dyDescent="0.4">
      <c r="A15" t="s">
        <v>131</v>
      </c>
      <c r="B15" s="14"/>
      <c r="C15" s="26"/>
      <c r="D15" s="65"/>
      <c r="E15" s="13"/>
      <c r="F15" s="28"/>
      <c r="G15" s="65"/>
      <c r="H15" s="65"/>
      <c r="I15" s="65"/>
      <c r="J15" s="55"/>
      <c r="K15" s="28"/>
      <c r="L15" s="65"/>
      <c r="M15" s="65">
        <v>50</v>
      </c>
      <c r="N15" s="65" t="s">
        <v>69</v>
      </c>
      <c r="O15" s="81">
        <f t="shared" si="0"/>
        <v>50</v>
      </c>
      <c r="P15" s="2"/>
    </row>
    <row r="16" spans="1:16" x14ac:dyDescent="0.4">
      <c r="A16" t="s">
        <v>123</v>
      </c>
      <c r="B16" s="14"/>
      <c r="C16" s="26"/>
      <c r="D16" s="65"/>
      <c r="E16" s="13"/>
      <c r="F16" s="60"/>
      <c r="G16" s="65"/>
      <c r="H16" s="65"/>
      <c r="I16" s="65"/>
      <c r="J16" s="55"/>
      <c r="K16" s="65"/>
      <c r="L16" s="65"/>
      <c r="M16" s="65"/>
      <c r="N16" s="65"/>
      <c r="O16" s="81">
        <f t="shared" si="0"/>
        <v>0</v>
      </c>
      <c r="P16" s="2"/>
    </row>
    <row r="17" spans="1:20" x14ac:dyDescent="0.4">
      <c r="A17" t="s">
        <v>126</v>
      </c>
      <c r="B17" s="14">
        <v>161.11000000000001</v>
      </c>
      <c r="C17" s="33">
        <v>161.43</v>
      </c>
      <c r="D17" s="33">
        <v>161.43</v>
      </c>
      <c r="E17" s="33">
        <v>158.13999999999999</v>
      </c>
      <c r="F17" s="33">
        <v>158.79</v>
      </c>
      <c r="G17" s="33">
        <v>158.53</v>
      </c>
      <c r="H17" s="33">
        <v>158.53</v>
      </c>
      <c r="I17" s="33">
        <v>158.96</v>
      </c>
      <c r="J17" s="33">
        <v>158.13999999999999</v>
      </c>
      <c r="K17" s="33">
        <v>170.24</v>
      </c>
      <c r="L17" s="33">
        <v>170.24</v>
      </c>
      <c r="M17" s="33">
        <v>170.14</v>
      </c>
      <c r="N17" s="65" t="s">
        <v>69</v>
      </c>
      <c r="O17" s="81">
        <f t="shared" si="0"/>
        <v>1945.6799999999998</v>
      </c>
      <c r="Q17" s="2"/>
      <c r="T17" s="2"/>
    </row>
    <row r="18" spans="1:20" x14ac:dyDescent="0.4">
      <c r="A18" t="s">
        <v>127</v>
      </c>
      <c r="B18" s="14">
        <v>97.4</v>
      </c>
      <c r="C18" s="14">
        <v>93.66</v>
      </c>
      <c r="D18" s="14">
        <v>93.66</v>
      </c>
      <c r="E18" s="14">
        <v>92</v>
      </c>
      <c r="F18" s="14">
        <v>92</v>
      </c>
      <c r="G18" s="14">
        <v>92</v>
      </c>
      <c r="H18" s="14">
        <v>92</v>
      </c>
      <c r="I18" s="14">
        <v>92</v>
      </c>
      <c r="J18" s="14">
        <v>92</v>
      </c>
      <c r="K18" s="14">
        <v>95.16</v>
      </c>
      <c r="L18" s="14">
        <v>95.16</v>
      </c>
      <c r="M18" s="14">
        <v>95.16</v>
      </c>
      <c r="N18" s="65" t="s">
        <v>69</v>
      </c>
      <c r="O18" s="81">
        <f t="shared" si="0"/>
        <v>1122.2</v>
      </c>
      <c r="P18" s="2"/>
      <c r="Q18" s="2"/>
    </row>
    <row r="19" spans="1:20" x14ac:dyDescent="0.4">
      <c r="A19" t="s">
        <v>28</v>
      </c>
      <c r="B19" s="14">
        <f>62+92.5+228.08</f>
        <v>382.58000000000004</v>
      </c>
      <c r="C19" s="26"/>
      <c r="D19" s="65"/>
      <c r="E19" s="26"/>
      <c r="F19" s="13">
        <v>0</v>
      </c>
      <c r="G19" s="13">
        <v>40.520000000000003</v>
      </c>
      <c r="H19" s="13"/>
      <c r="I19" s="13"/>
      <c r="J19" s="74">
        <v>100</v>
      </c>
      <c r="K19" s="13"/>
      <c r="L19" s="13"/>
      <c r="M19" s="13"/>
      <c r="N19" s="13"/>
      <c r="O19" s="81">
        <f t="shared" si="0"/>
        <v>523.1</v>
      </c>
    </row>
    <row r="20" spans="1:20" x14ac:dyDescent="0.4">
      <c r="A20" t="s">
        <v>29</v>
      </c>
      <c r="B20" s="15">
        <v>475</v>
      </c>
      <c r="C20" s="15">
        <v>475</v>
      </c>
      <c r="D20" s="15">
        <v>475</v>
      </c>
      <c r="E20" s="15">
        <v>475</v>
      </c>
      <c r="F20" s="15">
        <v>475</v>
      </c>
      <c r="G20" s="15">
        <v>475</v>
      </c>
      <c r="H20" s="15">
        <v>475</v>
      </c>
      <c r="I20" s="15">
        <v>475</v>
      </c>
      <c r="J20" s="15">
        <v>475</v>
      </c>
      <c r="K20" s="15">
        <v>475</v>
      </c>
      <c r="L20" s="15">
        <v>475</v>
      </c>
      <c r="M20" s="15">
        <v>475</v>
      </c>
      <c r="N20" s="65" t="s">
        <v>69</v>
      </c>
      <c r="O20" s="82">
        <f t="shared" si="0"/>
        <v>5700</v>
      </c>
    </row>
    <row r="21" spans="1:20" x14ac:dyDescent="0.4">
      <c r="A21" s="2"/>
      <c r="B21" s="67">
        <f t="shared" ref="B21:I21" si="1">SUM(B3:B20)</f>
        <v>3012.95</v>
      </c>
      <c r="C21" s="67">
        <f t="shared" si="1"/>
        <v>1411.42</v>
      </c>
      <c r="D21" s="67">
        <f t="shared" si="1"/>
        <v>1388.67</v>
      </c>
      <c r="E21" s="67">
        <f t="shared" si="1"/>
        <v>2166.94</v>
      </c>
      <c r="F21" s="67">
        <f t="shared" si="1"/>
        <v>1254.53</v>
      </c>
      <c r="G21" s="67">
        <f t="shared" si="1"/>
        <v>2139.52</v>
      </c>
      <c r="H21" s="67">
        <f t="shared" si="1"/>
        <v>1370.2</v>
      </c>
      <c r="I21" s="67">
        <f t="shared" si="1"/>
        <v>1389.49</v>
      </c>
      <c r="J21" s="67">
        <f>SUM(J3:J20)</f>
        <v>2298.6999999999998</v>
      </c>
      <c r="K21" s="67">
        <f>SUM(K3:K20)</f>
        <v>1540.55</v>
      </c>
      <c r="L21" s="67">
        <f>SUM(L3:L20)</f>
        <v>1450.6799999999998</v>
      </c>
      <c r="M21" s="67">
        <f>SUM(M3:M20)</f>
        <v>1629.3500000000001</v>
      </c>
      <c r="N21" s="67"/>
      <c r="O21" s="67">
        <f>SUM(O3:O20)</f>
        <v>21053</v>
      </c>
    </row>
    <row r="22" spans="1:20" x14ac:dyDescent="0.4">
      <c r="A22" t="s">
        <v>31</v>
      </c>
      <c r="B22" s="14"/>
      <c r="C22" s="14"/>
      <c r="G22" s="2"/>
      <c r="H22" s="2"/>
      <c r="I22" s="2"/>
      <c r="J22" s="2"/>
      <c r="K22" s="2"/>
      <c r="L22" s="2"/>
      <c r="M22" s="2"/>
      <c r="N22" s="2"/>
    </row>
    <row r="23" spans="1:20" x14ac:dyDescent="0.4">
      <c r="A23" t="s">
        <v>89</v>
      </c>
      <c r="B23" s="63">
        <v>200</v>
      </c>
      <c r="C23" s="63">
        <v>200</v>
      </c>
      <c r="D23" s="63">
        <v>200</v>
      </c>
      <c r="E23" s="63">
        <v>100</v>
      </c>
      <c r="F23" s="63">
        <v>100</v>
      </c>
      <c r="G23" s="63">
        <v>100</v>
      </c>
      <c r="H23" s="63">
        <v>100</v>
      </c>
      <c r="I23" s="63">
        <v>100</v>
      </c>
      <c r="J23" s="63">
        <v>100</v>
      </c>
      <c r="K23" s="63">
        <v>100</v>
      </c>
      <c r="L23" s="63">
        <v>100</v>
      </c>
      <c r="M23" s="63">
        <v>100</v>
      </c>
      <c r="N23" s="63"/>
      <c r="O23" s="81">
        <f>SUM(B23:M23)</f>
        <v>1500</v>
      </c>
    </row>
    <row r="24" spans="1:20" x14ac:dyDescent="0.4">
      <c r="A24" t="s">
        <v>33</v>
      </c>
      <c r="B24" s="63">
        <v>300</v>
      </c>
      <c r="C24" s="63">
        <v>300</v>
      </c>
      <c r="D24" s="68">
        <v>300</v>
      </c>
      <c r="E24" s="68">
        <v>300</v>
      </c>
      <c r="F24" s="69">
        <v>300</v>
      </c>
      <c r="G24" s="69">
        <v>300</v>
      </c>
      <c r="H24" s="69">
        <v>300</v>
      </c>
      <c r="I24" s="69">
        <v>300</v>
      </c>
      <c r="J24" s="69">
        <v>300</v>
      </c>
      <c r="K24" s="69">
        <v>300</v>
      </c>
      <c r="L24" s="69">
        <v>300</v>
      </c>
      <c r="M24" s="69">
        <v>200</v>
      </c>
      <c r="N24" s="69"/>
      <c r="O24" s="81">
        <f>SUM(B24:M24)</f>
        <v>3500</v>
      </c>
      <c r="R24" s="2"/>
    </row>
    <row r="25" spans="1:20" x14ac:dyDescent="0.4">
      <c r="A25" t="s">
        <v>34</v>
      </c>
      <c r="B25" s="70">
        <v>120</v>
      </c>
      <c r="C25" s="70">
        <v>120</v>
      </c>
      <c r="D25" s="48">
        <v>120</v>
      </c>
      <c r="E25" s="48">
        <v>120</v>
      </c>
      <c r="F25" s="41">
        <v>120</v>
      </c>
      <c r="G25" s="41">
        <v>120</v>
      </c>
      <c r="H25" s="41">
        <v>120</v>
      </c>
      <c r="I25" s="41">
        <v>120</v>
      </c>
      <c r="J25" s="41">
        <v>120</v>
      </c>
      <c r="K25" s="41">
        <v>120</v>
      </c>
      <c r="L25" s="41">
        <v>120</v>
      </c>
      <c r="M25" s="41">
        <v>120</v>
      </c>
      <c r="N25" s="41"/>
      <c r="O25" s="82">
        <f>SUM(B25:M25)</f>
        <v>1440</v>
      </c>
    </row>
    <row r="26" spans="1:20" x14ac:dyDescent="0.4">
      <c r="B26" s="67">
        <f t="shared" ref="B26:I26" si="2">B21+SUM(B23:B25)</f>
        <v>3632.95</v>
      </c>
      <c r="C26" s="67">
        <f t="shared" si="2"/>
        <v>2031.42</v>
      </c>
      <c r="D26" s="67">
        <f t="shared" si="2"/>
        <v>2008.67</v>
      </c>
      <c r="E26" s="67">
        <f t="shared" si="2"/>
        <v>2686.94</v>
      </c>
      <c r="F26" s="67">
        <f t="shared" si="2"/>
        <v>1774.53</v>
      </c>
      <c r="G26" s="67">
        <f t="shared" si="2"/>
        <v>2659.52</v>
      </c>
      <c r="H26" s="67">
        <f t="shared" si="2"/>
        <v>1890.2</v>
      </c>
      <c r="I26" s="67">
        <f t="shared" si="2"/>
        <v>1909.49</v>
      </c>
      <c r="J26" s="67">
        <f>J21+SUM(J23:J25)</f>
        <v>2818.7</v>
      </c>
      <c r="K26" s="67">
        <f>K21+SUM(K23:K25)</f>
        <v>2060.5500000000002</v>
      </c>
      <c r="L26" s="67">
        <f>L21+SUM(L23:L25)</f>
        <v>1970.6799999999998</v>
      </c>
      <c r="M26" s="67">
        <f>M21+SUM(M23:M25)</f>
        <v>2049.3500000000004</v>
      </c>
      <c r="N26" s="67"/>
      <c r="O26" s="67">
        <f>O21+SUM(O23:O25)</f>
        <v>27493</v>
      </c>
      <c r="P26" s="54"/>
    </row>
    <row r="27" spans="1:20" x14ac:dyDescent="0.4">
      <c r="B27" s="14"/>
      <c r="C27" s="14"/>
      <c r="D27" s="25"/>
      <c r="H27" s="51"/>
      <c r="I27" s="51"/>
      <c r="J27" s="2"/>
      <c r="K27" s="2"/>
      <c r="L27" s="2"/>
      <c r="M27" s="2"/>
      <c r="N27" s="2"/>
      <c r="P27" s="22"/>
    </row>
    <row r="28" spans="1:20" x14ac:dyDescent="0.4">
      <c r="A28" t="s">
        <v>79</v>
      </c>
      <c r="B28" s="1">
        <f>1835+200+100</f>
        <v>2135</v>
      </c>
      <c r="C28" s="1">
        <f t="shared" ref="C28:J28" si="3">1835+200</f>
        <v>2035</v>
      </c>
      <c r="D28" s="1">
        <f t="shared" si="3"/>
        <v>2035</v>
      </c>
      <c r="E28" s="1">
        <f t="shared" si="3"/>
        <v>2035</v>
      </c>
      <c r="F28" s="1">
        <f t="shared" si="3"/>
        <v>2035</v>
      </c>
      <c r="G28" s="1">
        <f t="shared" si="3"/>
        <v>2035</v>
      </c>
      <c r="H28" s="1">
        <f t="shared" si="3"/>
        <v>2035</v>
      </c>
      <c r="I28" s="1">
        <f t="shared" si="3"/>
        <v>2035</v>
      </c>
      <c r="J28" s="1">
        <f t="shared" si="3"/>
        <v>2035</v>
      </c>
      <c r="K28" s="1">
        <f>1835-122-50+400</f>
        <v>2063</v>
      </c>
      <c r="L28" s="1">
        <f>1834-122-50+450</f>
        <v>2112</v>
      </c>
      <c r="M28" s="1">
        <f>1664+450</f>
        <v>2114</v>
      </c>
      <c r="N28" s="1"/>
      <c r="O28" s="81">
        <f>SUM(B28:M28)</f>
        <v>24704</v>
      </c>
      <c r="P28" s="22"/>
      <c r="R28" s="2"/>
    </row>
    <row r="29" spans="1:20" x14ac:dyDescent="0.4">
      <c r="B29" s="14"/>
      <c r="C29" s="14"/>
      <c r="D29" s="5"/>
      <c r="P29" s="22"/>
      <c r="R29" s="2"/>
    </row>
    <row r="30" spans="1:20" x14ac:dyDescent="0.4">
      <c r="A30" s="2"/>
      <c r="B30" s="53">
        <f t="shared" ref="B30:I30" si="4">B28-B26</f>
        <v>-1497.9499999999998</v>
      </c>
      <c r="C30" s="53">
        <f t="shared" si="4"/>
        <v>3.5799999999999272</v>
      </c>
      <c r="D30" s="53">
        <f t="shared" si="4"/>
        <v>26.329999999999927</v>
      </c>
      <c r="E30" s="53">
        <f t="shared" si="4"/>
        <v>-651.94000000000005</v>
      </c>
      <c r="F30" s="53">
        <f t="shared" si="4"/>
        <v>260.47000000000003</v>
      </c>
      <c r="G30" s="53">
        <f t="shared" si="4"/>
        <v>-624.52</v>
      </c>
      <c r="H30" s="53">
        <f t="shared" si="4"/>
        <v>144.79999999999995</v>
      </c>
      <c r="I30" s="53">
        <f t="shared" si="4"/>
        <v>125.50999999999999</v>
      </c>
      <c r="J30" s="53">
        <f>J28-J26</f>
        <v>-783.69999999999982</v>
      </c>
      <c r="K30" s="53">
        <f>K28-K26</f>
        <v>2.4499999999998181</v>
      </c>
      <c r="L30" s="53">
        <f>L28-L26</f>
        <v>141.32000000000016</v>
      </c>
      <c r="M30" s="53">
        <f>M28-M26</f>
        <v>64.649999999999636</v>
      </c>
      <c r="N30" s="53"/>
      <c r="O30" s="81">
        <f>SUM(B30:M30)</f>
        <v>-2788.9999999999995</v>
      </c>
      <c r="P30" s="22"/>
      <c r="R30" s="2"/>
    </row>
    <row r="31" spans="1:20" x14ac:dyDescent="0.4">
      <c r="A31" s="51"/>
      <c r="B31" s="14"/>
      <c r="C31" s="14"/>
      <c r="D31" s="5"/>
      <c r="P31" s="22"/>
      <c r="R31" s="2"/>
    </row>
    <row r="32" spans="1:20" x14ac:dyDescent="0.4">
      <c r="B32" s="14"/>
      <c r="C32" s="14"/>
      <c r="D32" s="5"/>
      <c r="E32" s="51"/>
      <c r="P32" s="22"/>
      <c r="R32" s="2"/>
      <c r="S32" s="2"/>
    </row>
    <row r="33" spans="1:17" x14ac:dyDescent="0.4">
      <c r="E33" s="51"/>
      <c r="F33" s="51"/>
      <c r="I33" s="2"/>
      <c r="K33" s="51"/>
      <c r="M33" s="51"/>
      <c r="N33" s="51"/>
      <c r="P33" s="30"/>
    </row>
    <row r="34" spans="1:17" x14ac:dyDescent="0.4">
      <c r="A34" s="51" t="s">
        <v>117</v>
      </c>
      <c r="G34" s="5"/>
      <c r="J34" s="77"/>
    </row>
    <row r="35" spans="1:17" x14ac:dyDescent="0.4">
      <c r="A35" s="51" t="s">
        <v>118</v>
      </c>
      <c r="J35" s="53"/>
      <c r="Q35" s="53"/>
    </row>
    <row r="36" spans="1:17" x14ac:dyDescent="0.4">
      <c r="A36" s="51" t="s">
        <v>119</v>
      </c>
      <c r="G36" s="53"/>
      <c r="H36" s="53"/>
      <c r="I36" s="53"/>
      <c r="P36" s="2"/>
      <c r="Q36" s="53"/>
    </row>
    <row r="37" spans="1:17" x14ac:dyDescent="0.4">
      <c r="A37" s="51" t="s">
        <v>129</v>
      </c>
      <c r="I37" s="2"/>
      <c r="Q37" s="53"/>
    </row>
    <row r="39" spans="1:17" x14ac:dyDescent="0.4">
      <c r="A39" s="2" t="s">
        <v>115</v>
      </c>
      <c r="B39" s="53">
        <v>7827.18</v>
      </c>
      <c r="C39" s="53"/>
      <c r="D39" s="53"/>
      <c r="E39" s="53"/>
      <c r="F39" s="53"/>
      <c r="G39" s="53"/>
      <c r="H39" s="53"/>
      <c r="I39" s="53"/>
    </row>
    <row r="40" spans="1:17" x14ac:dyDescent="0.4">
      <c r="A40" t="s">
        <v>111</v>
      </c>
      <c r="B40">
        <v>-1174.08</v>
      </c>
    </row>
    <row r="41" spans="1:17" x14ac:dyDescent="0.4">
      <c r="A41" t="s">
        <v>110</v>
      </c>
      <c r="B41" s="41">
        <v>-403.1</v>
      </c>
    </row>
    <row r="42" spans="1:17" x14ac:dyDescent="0.4">
      <c r="A42" t="s">
        <v>112</v>
      </c>
      <c r="B42" s="53">
        <f>SUM(B39:B41)</f>
        <v>6250</v>
      </c>
    </row>
    <row r="44" spans="1:17" x14ac:dyDescent="0.4">
      <c r="A44" t="s">
        <v>116</v>
      </c>
      <c r="B44" s="90">
        <v>1753.48</v>
      </c>
    </row>
    <row r="45" spans="1:17" x14ac:dyDescent="0.4">
      <c r="A45" t="s">
        <v>113</v>
      </c>
      <c r="B45" s="3">
        <v>2800</v>
      </c>
    </row>
    <row r="46" spans="1:17" x14ac:dyDescent="0.4">
      <c r="A46" t="s">
        <v>114</v>
      </c>
      <c r="B46" s="4">
        <v>1700</v>
      </c>
    </row>
    <row r="47" spans="1:17" x14ac:dyDescent="0.4">
      <c r="A47" t="s">
        <v>45</v>
      </c>
      <c r="B47" s="90">
        <f>SUM(B44:B46)</f>
        <v>6253.48</v>
      </c>
    </row>
    <row r="49" spans="6:6" x14ac:dyDescent="0.4">
      <c r="F49" s="30"/>
    </row>
    <row r="50" spans="6:6" x14ac:dyDescent="0.4">
      <c r="F50" s="76"/>
    </row>
    <row r="51" spans="6:6" x14ac:dyDescent="0.4">
      <c r="F51" s="25"/>
    </row>
    <row r="52" spans="6:6" x14ac:dyDescent="0.4">
      <c r="F52" s="25"/>
    </row>
    <row r="53" spans="6:6" x14ac:dyDescent="0.4">
      <c r="F53" s="22"/>
    </row>
  </sheetData>
  <phoneticPr fontId="3" type="noConversion"/>
  <pageMargins left="0.75" right="0.75" top="1" bottom="1" header="0.5" footer="0.5"/>
  <pageSetup scale="66" orientation="landscape" horizontalDpi="200" verticalDpi="200" r:id="rId1"/>
  <headerFooter alignWithMargins="0"/>
  <colBreaks count="1" manualBreakCount="1">
    <brk id="1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"/>
  <sheetViews>
    <sheetView zoomScaleNormal="100" workbookViewId="0">
      <pane xSplit="1" topLeftCell="F1" activePane="topRight" state="frozen"/>
      <selection pane="topRight" activeCell="M26" sqref="M26"/>
    </sheetView>
  </sheetViews>
  <sheetFormatPr defaultRowHeight="12.7" x14ac:dyDescent="0.4"/>
  <cols>
    <col min="1" max="1" width="36.87890625" customWidth="1"/>
    <col min="2" max="2" width="11.1171875" customWidth="1"/>
    <col min="3" max="3" width="10" customWidth="1"/>
    <col min="4" max="4" width="10.87890625" customWidth="1"/>
    <col min="5" max="5" width="10.5859375" customWidth="1"/>
    <col min="6" max="6" width="11.234375" customWidth="1"/>
    <col min="7" max="7" width="12.234375" customWidth="1"/>
    <col min="8" max="8" width="10.5859375" customWidth="1"/>
    <col min="9" max="9" width="11.1171875" customWidth="1"/>
    <col min="10" max="10" width="11" customWidth="1"/>
    <col min="11" max="12" width="12.703125" customWidth="1"/>
    <col min="13" max="13" width="10" customWidth="1"/>
    <col min="14" max="14" width="3.1171875" customWidth="1"/>
    <col min="15" max="15" width="12.41015625" customWidth="1"/>
    <col min="16" max="16" width="9.234375" customWidth="1"/>
    <col min="17" max="17" width="10.87890625" bestFit="1" customWidth="1"/>
  </cols>
  <sheetData>
    <row r="1" spans="1:20" x14ac:dyDescent="0.4">
      <c r="A1" s="2" t="s">
        <v>30</v>
      </c>
    </row>
    <row r="2" spans="1:20" x14ac:dyDescent="0.4">
      <c r="A2" s="2"/>
      <c r="B2" s="71" t="s">
        <v>41</v>
      </c>
      <c r="C2" s="40" t="s">
        <v>44</v>
      </c>
      <c r="D2" s="71" t="s">
        <v>51</v>
      </c>
      <c r="E2" s="71" t="s">
        <v>52</v>
      </c>
      <c r="F2" s="71" t="s">
        <v>47</v>
      </c>
      <c r="G2" s="71" t="s">
        <v>48</v>
      </c>
      <c r="H2" s="71" t="s">
        <v>0</v>
      </c>
      <c r="I2" s="71" t="s">
        <v>3</v>
      </c>
      <c r="J2" s="71" t="s">
        <v>10</v>
      </c>
      <c r="K2" s="71" t="s">
        <v>11</v>
      </c>
      <c r="L2" s="71" t="s">
        <v>12</v>
      </c>
      <c r="M2" s="71" t="s">
        <v>13</v>
      </c>
      <c r="N2" s="43"/>
      <c r="O2" s="80" t="s">
        <v>45</v>
      </c>
    </row>
    <row r="3" spans="1:20" x14ac:dyDescent="0.4">
      <c r="A3" t="s">
        <v>16</v>
      </c>
      <c r="B3" s="86">
        <v>184</v>
      </c>
      <c r="C3" s="87">
        <v>191</v>
      </c>
      <c r="D3" s="88">
        <v>201</v>
      </c>
      <c r="E3" s="88">
        <v>201</v>
      </c>
      <c r="F3" s="88">
        <v>416</v>
      </c>
      <c r="G3" s="88">
        <v>221</v>
      </c>
      <c r="H3" s="88">
        <v>500</v>
      </c>
      <c r="I3" s="88">
        <v>500</v>
      </c>
      <c r="J3" s="88">
        <v>300</v>
      </c>
      <c r="K3" s="88">
        <v>300</v>
      </c>
      <c r="L3" s="88">
        <v>300</v>
      </c>
      <c r="M3" s="88">
        <v>310</v>
      </c>
      <c r="N3" s="65" t="s">
        <v>69</v>
      </c>
      <c r="O3" s="88">
        <f t="shared" ref="O3:O17" si="0">SUM(B3:M3)</f>
        <v>3624</v>
      </c>
    </row>
    <row r="4" spans="1:20" ht="15.75" customHeight="1" x14ac:dyDescent="0.4">
      <c r="A4" t="s">
        <v>104</v>
      </c>
      <c r="B4" s="14">
        <v>50</v>
      </c>
      <c r="C4" s="26">
        <v>35</v>
      </c>
      <c r="D4" s="65">
        <v>50</v>
      </c>
      <c r="E4" s="65">
        <v>50</v>
      </c>
      <c r="F4" s="65">
        <v>35</v>
      </c>
      <c r="G4" s="65">
        <v>35</v>
      </c>
      <c r="H4" s="65">
        <v>35</v>
      </c>
      <c r="I4" s="65">
        <v>35</v>
      </c>
      <c r="J4" s="55">
        <v>65</v>
      </c>
      <c r="K4" s="65">
        <v>50</v>
      </c>
      <c r="L4" s="65">
        <v>70</v>
      </c>
      <c r="M4" s="65">
        <v>100</v>
      </c>
      <c r="N4" s="65" t="s">
        <v>69</v>
      </c>
      <c r="O4" s="65">
        <f t="shared" si="0"/>
        <v>610</v>
      </c>
    </row>
    <row r="5" spans="1:20" ht="14.25" customHeight="1" x14ac:dyDescent="0.4">
      <c r="A5" t="s">
        <v>88</v>
      </c>
      <c r="B5" s="14">
        <v>500</v>
      </c>
      <c r="C5" s="14">
        <v>700</v>
      </c>
      <c r="D5" s="14">
        <v>700</v>
      </c>
      <c r="E5" s="14">
        <v>700</v>
      </c>
      <c r="F5" s="14">
        <v>700</v>
      </c>
      <c r="G5" s="14">
        <v>700</v>
      </c>
      <c r="H5" s="14">
        <v>195</v>
      </c>
      <c r="I5" s="14">
        <v>0</v>
      </c>
      <c r="J5" s="14">
        <v>0</v>
      </c>
      <c r="K5" s="14"/>
      <c r="L5" s="14">
        <v>0</v>
      </c>
      <c r="M5" s="14">
        <v>0</v>
      </c>
      <c r="N5" s="14"/>
      <c r="O5" s="65">
        <f t="shared" si="0"/>
        <v>4195</v>
      </c>
    </row>
    <row r="6" spans="1:20" ht="14.25" customHeight="1" x14ac:dyDescent="0.4">
      <c r="A6" t="s">
        <v>90</v>
      </c>
      <c r="B6" s="14"/>
      <c r="C6" s="14"/>
      <c r="D6" s="14"/>
      <c r="E6" s="14"/>
      <c r="F6" s="14"/>
      <c r="G6" s="14">
        <v>852</v>
      </c>
      <c r="H6" s="14"/>
      <c r="I6" s="14"/>
      <c r="J6" s="14"/>
      <c r="K6" s="14"/>
      <c r="L6" s="14"/>
      <c r="M6" s="14"/>
      <c r="N6" s="11"/>
      <c r="O6" s="65">
        <f t="shared" si="0"/>
        <v>852</v>
      </c>
    </row>
    <row r="7" spans="1:20" x14ac:dyDescent="0.4">
      <c r="A7" t="s">
        <v>102</v>
      </c>
      <c r="B7" s="14">
        <v>15.68</v>
      </c>
      <c r="C7" s="26">
        <v>37.25</v>
      </c>
      <c r="D7" s="65">
        <v>39.99</v>
      </c>
      <c r="E7" s="65">
        <v>39.99</v>
      </c>
      <c r="F7" s="65">
        <v>39.99</v>
      </c>
      <c r="G7" s="65">
        <v>0</v>
      </c>
      <c r="H7" s="65">
        <v>0</v>
      </c>
      <c r="I7" s="65">
        <v>0</v>
      </c>
      <c r="J7" s="65"/>
      <c r="K7" s="65"/>
      <c r="L7" s="65">
        <v>60.2</v>
      </c>
      <c r="M7" s="60">
        <v>49.59</v>
      </c>
      <c r="N7" s="65" t="s">
        <v>69</v>
      </c>
      <c r="O7" s="65">
        <f t="shared" si="0"/>
        <v>282.69000000000005</v>
      </c>
    </row>
    <row r="8" spans="1:20" x14ac:dyDescent="0.4">
      <c r="A8" t="s">
        <v>103</v>
      </c>
      <c r="B8" s="14">
        <v>100.7</v>
      </c>
      <c r="C8" s="26">
        <v>62.73</v>
      </c>
      <c r="D8" s="65">
        <v>80.739999999999995</v>
      </c>
      <c r="E8" s="65">
        <v>107.38</v>
      </c>
      <c r="F8" s="65">
        <v>92.03</v>
      </c>
      <c r="G8" s="65">
        <v>16.61</v>
      </c>
      <c r="H8" s="65">
        <v>17.34</v>
      </c>
      <c r="I8" s="65">
        <v>16.010000000000002</v>
      </c>
      <c r="J8" s="55">
        <v>15.64</v>
      </c>
      <c r="K8" s="65">
        <v>16.420000000000002</v>
      </c>
      <c r="L8" s="65">
        <v>92.1</v>
      </c>
      <c r="M8" s="60">
        <v>110.66</v>
      </c>
      <c r="N8" s="65" t="s">
        <v>69</v>
      </c>
      <c r="O8" s="65">
        <f t="shared" si="0"/>
        <v>728.36</v>
      </c>
      <c r="P8" s="2"/>
    </row>
    <row r="9" spans="1:20" ht="14.25" customHeight="1" x14ac:dyDescent="0.4">
      <c r="A9" t="s">
        <v>20</v>
      </c>
      <c r="B9" s="14">
        <v>286</v>
      </c>
      <c r="C9" s="14">
        <v>286</v>
      </c>
      <c r="D9" s="14">
        <v>286</v>
      </c>
      <c r="E9" s="14">
        <v>286</v>
      </c>
      <c r="F9" s="14">
        <v>286</v>
      </c>
      <c r="G9" s="14">
        <v>286</v>
      </c>
      <c r="H9" s="14">
        <v>286</v>
      </c>
      <c r="I9" s="14">
        <v>286</v>
      </c>
      <c r="J9" s="14">
        <v>286</v>
      </c>
      <c r="K9" s="14">
        <v>286</v>
      </c>
      <c r="L9" s="14">
        <v>286</v>
      </c>
      <c r="M9" s="14">
        <v>303</v>
      </c>
      <c r="N9" s="65" t="s">
        <v>69</v>
      </c>
      <c r="O9" s="65">
        <f t="shared" si="0"/>
        <v>3449</v>
      </c>
    </row>
    <row r="10" spans="1:20" ht="17.25" customHeight="1" x14ac:dyDescent="0.4">
      <c r="A10" t="s">
        <v>105</v>
      </c>
      <c r="B10" s="14">
        <v>25</v>
      </c>
      <c r="C10" s="14">
        <v>25</v>
      </c>
      <c r="D10" s="14">
        <v>25</v>
      </c>
      <c r="E10" s="14">
        <v>25</v>
      </c>
      <c r="F10" s="14">
        <v>25</v>
      </c>
      <c r="G10" s="14">
        <v>25</v>
      </c>
      <c r="H10" s="14">
        <v>25</v>
      </c>
      <c r="I10" s="14">
        <v>50</v>
      </c>
      <c r="J10" s="14">
        <v>50</v>
      </c>
      <c r="K10" s="14">
        <v>30</v>
      </c>
      <c r="L10" s="14">
        <v>27</v>
      </c>
      <c r="M10" s="65">
        <v>50</v>
      </c>
      <c r="N10" s="65" t="s">
        <v>69</v>
      </c>
      <c r="O10" s="65">
        <f t="shared" si="0"/>
        <v>382</v>
      </c>
    </row>
    <row r="11" spans="1:20" x14ac:dyDescent="0.4">
      <c r="A11" t="s">
        <v>106</v>
      </c>
      <c r="B11" s="14">
        <v>59.97</v>
      </c>
      <c r="C11" s="33">
        <v>82.74</v>
      </c>
      <c r="D11" s="65">
        <v>54.45</v>
      </c>
      <c r="E11" s="65">
        <v>50.42</v>
      </c>
      <c r="F11" s="65">
        <v>51.71</v>
      </c>
      <c r="G11" s="65">
        <v>119.86</v>
      </c>
      <c r="H11" s="65">
        <v>142.33000000000001</v>
      </c>
      <c r="I11" s="65">
        <v>162.52000000000001</v>
      </c>
      <c r="J11" s="55">
        <v>146.34</v>
      </c>
      <c r="K11" s="65">
        <v>144.5</v>
      </c>
      <c r="L11" s="65">
        <v>66.760000000000005</v>
      </c>
      <c r="M11" s="60">
        <v>56.77</v>
      </c>
      <c r="N11" s="65" t="s">
        <v>69</v>
      </c>
      <c r="O11" s="65">
        <f t="shared" si="0"/>
        <v>1138.3700000000001</v>
      </c>
    </row>
    <row r="12" spans="1:20" x14ac:dyDescent="0.4">
      <c r="A12" t="s">
        <v>107</v>
      </c>
      <c r="B12" s="14">
        <v>125</v>
      </c>
      <c r="C12" s="26">
        <v>130</v>
      </c>
      <c r="D12" s="65">
        <v>100</v>
      </c>
      <c r="E12" s="65"/>
      <c r="F12" s="65">
        <v>0</v>
      </c>
      <c r="G12" s="65"/>
      <c r="H12" s="65">
        <v>125</v>
      </c>
      <c r="I12" s="65">
        <v>125</v>
      </c>
      <c r="J12" s="55">
        <v>125</v>
      </c>
      <c r="K12" s="65">
        <v>125</v>
      </c>
      <c r="L12" s="65">
        <v>125</v>
      </c>
      <c r="M12" s="65">
        <v>125</v>
      </c>
      <c r="N12" s="65" t="s">
        <v>69</v>
      </c>
      <c r="O12" s="65">
        <f t="shared" si="0"/>
        <v>1105</v>
      </c>
    </row>
    <row r="13" spans="1:20" x14ac:dyDescent="0.4">
      <c r="A13" t="s">
        <v>108</v>
      </c>
      <c r="B13" s="14">
        <v>37</v>
      </c>
      <c r="C13" s="26"/>
      <c r="D13" s="65"/>
      <c r="E13" s="13"/>
      <c r="F13" s="28">
        <v>0</v>
      </c>
      <c r="G13" s="65"/>
      <c r="H13" s="65">
        <v>0</v>
      </c>
      <c r="I13" s="65"/>
      <c r="J13" s="55"/>
      <c r="K13" s="65">
        <v>50</v>
      </c>
      <c r="L13" s="65">
        <v>45.96</v>
      </c>
      <c r="M13" s="65">
        <v>50</v>
      </c>
      <c r="N13" s="65" t="s">
        <v>69</v>
      </c>
      <c r="O13" s="65">
        <f t="shared" si="0"/>
        <v>182.96</v>
      </c>
    </row>
    <row r="14" spans="1:20" x14ac:dyDescent="0.4">
      <c r="A14" t="s">
        <v>109</v>
      </c>
      <c r="B14" s="14">
        <v>142.53</v>
      </c>
      <c r="C14" s="33">
        <v>158.13999999999999</v>
      </c>
      <c r="D14" s="33">
        <v>158.13999999999999</v>
      </c>
      <c r="E14" s="33">
        <v>158.13999999999999</v>
      </c>
      <c r="F14" s="33">
        <v>158.79</v>
      </c>
      <c r="G14" s="33">
        <v>158.53</v>
      </c>
      <c r="H14" s="33">
        <v>158.53</v>
      </c>
      <c r="I14" s="33">
        <v>158.96</v>
      </c>
      <c r="J14" s="33">
        <v>158.96</v>
      </c>
      <c r="K14" s="33">
        <v>161.19</v>
      </c>
      <c r="L14" s="33">
        <v>161.11000000000001</v>
      </c>
      <c r="M14" s="33">
        <v>161.11000000000001</v>
      </c>
      <c r="N14" s="65" t="s">
        <v>69</v>
      </c>
      <c r="O14" s="65">
        <f t="shared" si="0"/>
        <v>1894.13</v>
      </c>
      <c r="Q14" s="2"/>
      <c r="T14" s="2"/>
    </row>
    <row r="15" spans="1:20" x14ac:dyDescent="0.4">
      <c r="A15" t="s">
        <v>101</v>
      </c>
      <c r="B15" s="14">
        <v>100</v>
      </c>
      <c r="C15" s="26">
        <v>100.3</v>
      </c>
      <c r="D15" s="65">
        <v>100.3</v>
      </c>
      <c r="E15" s="13">
        <v>100.3</v>
      </c>
      <c r="F15" s="13">
        <v>100.37</v>
      </c>
      <c r="G15" s="13">
        <v>100.37</v>
      </c>
      <c r="H15" s="13">
        <v>128.02000000000001</v>
      </c>
      <c r="I15" s="13">
        <v>92</v>
      </c>
      <c r="J15" s="57">
        <v>92.84</v>
      </c>
      <c r="K15" s="13">
        <v>92.84</v>
      </c>
      <c r="L15" s="13">
        <v>41.21</v>
      </c>
      <c r="M15" s="20">
        <v>93.38</v>
      </c>
      <c r="N15" s="65" t="s">
        <v>69</v>
      </c>
      <c r="O15" s="65">
        <f t="shared" si="0"/>
        <v>1141.9300000000003</v>
      </c>
      <c r="Q15" s="2"/>
    </row>
    <row r="16" spans="1:20" x14ac:dyDescent="0.4">
      <c r="A16" t="s">
        <v>28</v>
      </c>
      <c r="B16" s="14"/>
      <c r="C16" s="26"/>
      <c r="D16" s="65"/>
      <c r="E16" s="26"/>
      <c r="F16" s="13">
        <v>0</v>
      </c>
      <c r="G16" s="13">
        <v>40.520000000000003</v>
      </c>
      <c r="H16" s="13"/>
      <c r="I16" s="13"/>
      <c r="J16" s="74">
        <v>292.64</v>
      </c>
      <c r="K16" s="13"/>
      <c r="L16" s="13"/>
      <c r="M16" s="13"/>
      <c r="N16" s="13"/>
      <c r="O16" s="65">
        <f t="shared" si="0"/>
        <v>333.15999999999997</v>
      </c>
    </row>
    <row r="17" spans="1:19" x14ac:dyDescent="0.4">
      <c r="A17" t="s">
        <v>29</v>
      </c>
      <c r="B17" s="15">
        <v>485</v>
      </c>
      <c r="C17" s="15">
        <v>485</v>
      </c>
      <c r="D17" s="15">
        <v>485</v>
      </c>
      <c r="E17" s="15">
        <v>485</v>
      </c>
      <c r="F17" s="15">
        <v>0</v>
      </c>
      <c r="G17" s="15">
        <v>485</v>
      </c>
      <c r="H17" s="15"/>
      <c r="I17" s="15">
        <v>485</v>
      </c>
      <c r="J17" s="15">
        <v>485</v>
      </c>
      <c r="K17" s="15">
        <v>485</v>
      </c>
      <c r="L17" s="15">
        <v>485</v>
      </c>
      <c r="M17" s="15">
        <v>485</v>
      </c>
      <c r="N17" s="65" t="s">
        <v>69</v>
      </c>
      <c r="O17" s="66">
        <f t="shared" si="0"/>
        <v>4850</v>
      </c>
      <c r="Q17" s="65"/>
    </row>
    <row r="18" spans="1:19" x14ac:dyDescent="0.4">
      <c r="A18" s="2"/>
      <c r="B18" s="67">
        <f t="shared" ref="B18:L18" si="1">SUM(B3:B17)</f>
        <v>2110.88</v>
      </c>
      <c r="C18" s="67">
        <f t="shared" si="1"/>
        <v>2293.16</v>
      </c>
      <c r="D18" s="67">
        <f t="shared" si="1"/>
        <v>2280.62</v>
      </c>
      <c r="E18" s="67">
        <f t="shared" si="1"/>
        <v>2203.2299999999996</v>
      </c>
      <c r="F18" s="67">
        <f>SUM(F3:F17)</f>
        <v>1904.8899999999999</v>
      </c>
      <c r="G18" s="67">
        <f t="shared" si="1"/>
        <v>3039.89</v>
      </c>
      <c r="H18" s="67">
        <f t="shared" si="1"/>
        <v>1612.22</v>
      </c>
      <c r="I18" s="67">
        <f t="shared" si="1"/>
        <v>1910.49</v>
      </c>
      <c r="J18" s="67">
        <f t="shared" si="1"/>
        <v>2017.42</v>
      </c>
      <c r="K18" s="67">
        <f t="shared" si="1"/>
        <v>1740.95</v>
      </c>
      <c r="L18" s="67">
        <f t="shared" si="1"/>
        <v>1760.3400000000001</v>
      </c>
      <c r="M18" s="67">
        <f>SUM(M3:M17)</f>
        <v>1894.5100000000002</v>
      </c>
      <c r="N18" s="67"/>
      <c r="O18" s="67">
        <f>SUM(O3:O17)</f>
        <v>24768.600000000002</v>
      </c>
    </row>
    <row r="19" spans="1:19" x14ac:dyDescent="0.4">
      <c r="A19" t="s">
        <v>31</v>
      </c>
      <c r="B19" s="14"/>
      <c r="C19" s="14"/>
      <c r="G19" s="2"/>
      <c r="H19" s="2"/>
      <c r="I19" s="2"/>
      <c r="J19" s="2"/>
      <c r="K19" s="2"/>
      <c r="L19" s="2"/>
      <c r="M19" s="2"/>
      <c r="N19" s="2"/>
    </row>
    <row r="20" spans="1:19" x14ac:dyDescent="0.4">
      <c r="A20" t="s">
        <v>89</v>
      </c>
      <c r="B20" s="63"/>
      <c r="C20" s="63"/>
      <c r="D20" s="46"/>
      <c r="E20" s="63"/>
      <c r="F20" s="30"/>
      <c r="G20" s="30">
        <v>300</v>
      </c>
      <c r="H20" s="30"/>
      <c r="I20" s="30">
        <v>100</v>
      </c>
      <c r="J20" s="30">
        <v>150</v>
      </c>
      <c r="K20" s="30">
        <v>200</v>
      </c>
      <c r="L20" s="30">
        <v>200</v>
      </c>
      <c r="M20" s="30">
        <v>200</v>
      </c>
      <c r="N20" s="30"/>
      <c r="O20" s="65">
        <f>SUM(B20:M20)</f>
        <v>1150</v>
      </c>
      <c r="Q20" s="84"/>
    </row>
    <row r="21" spans="1:19" x14ac:dyDescent="0.4">
      <c r="A21" t="s">
        <v>33</v>
      </c>
      <c r="B21" s="63">
        <v>300</v>
      </c>
      <c r="C21" s="63">
        <v>300</v>
      </c>
      <c r="D21" s="68">
        <v>300</v>
      </c>
      <c r="E21" s="68">
        <v>300</v>
      </c>
      <c r="F21" s="69">
        <v>300</v>
      </c>
      <c r="G21" s="69">
        <v>300</v>
      </c>
      <c r="H21" s="69">
        <v>300</v>
      </c>
      <c r="I21" s="69">
        <v>300</v>
      </c>
      <c r="J21" s="69">
        <v>300</v>
      </c>
      <c r="K21" s="69">
        <v>300</v>
      </c>
      <c r="L21" s="69">
        <v>300</v>
      </c>
      <c r="M21" s="69">
        <v>300</v>
      </c>
      <c r="N21" s="69"/>
      <c r="O21" s="65">
        <f>SUM(B21:M21)</f>
        <v>3600</v>
      </c>
      <c r="Q21" s="85"/>
      <c r="R21" s="2"/>
    </row>
    <row r="22" spans="1:19" x14ac:dyDescent="0.4">
      <c r="A22" t="s">
        <v>34</v>
      </c>
      <c r="B22" s="70">
        <v>120</v>
      </c>
      <c r="C22" s="70">
        <v>120</v>
      </c>
      <c r="D22" s="48">
        <v>120</v>
      </c>
      <c r="E22" s="48">
        <v>120</v>
      </c>
      <c r="F22" s="41">
        <v>120</v>
      </c>
      <c r="G22" s="41">
        <v>120</v>
      </c>
      <c r="H22" s="41">
        <v>120</v>
      </c>
      <c r="I22" s="41">
        <v>120</v>
      </c>
      <c r="J22" s="41">
        <v>120</v>
      </c>
      <c r="K22" s="41">
        <v>120</v>
      </c>
      <c r="L22" s="41">
        <v>120</v>
      </c>
      <c r="M22" s="41">
        <v>120</v>
      </c>
      <c r="N22" s="41"/>
      <c r="O22" s="66">
        <f>SUM(B22:M22)</f>
        <v>1440</v>
      </c>
      <c r="Q22" s="84"/>
    </row>
    <row r="23" spans="1:19" x14ac:dyDescent="0.4">
      <c r="B23" s="67">
        <f t="shared" ref="B23:L23" si="2">B18+SUM(B20:B22)</f>
        <v>2530.88</v>
      </c>
      <c r="C23" s="67">
        <f t="shared" si="2"/>
        <v>2713.16</v>
      </c>
      <c r="D23" s="67">
        <f t="shared" si="2"/>
        <v>2700.62</v>
      </c>
      <c r="E23" s="67">
        <f t="shared" si="2"/>
        <v>2623.2299999999996</v>
      </c>
      <c r="F23" s="67">
        <f t="shared" si="2"/>
        <v>2324.89</v>
      </c>
      <c r="G23" s="67">
        <f>G18+SUM(G20:G22)</f>
        <v>3759.89</v>
      </c>
      <c r="H23" s="67">
        <f t="shared" si="2"/>
        <v>2032.22</v>
      </c>
      <c r="I23" s="67">
        <f t="shared" si="2"/>
        <v>2430.4899999999998</v>
      </c>
      <c r="J23" s="67">
        <f t="shared" si="2"/>
        <v>2587.42</v>
      </c>
      <c r="K23" s="67">
        <f t="shared" si="2"/>
        <v>2360.9499999999998</v>
      </c>
      <c r="L23" s="67">
        <f t="shared" si="2"/>
        <v>2380.34</v>
      </c>
      <c r="M23" s="67">
        <f>M18+SUM(M20:M22)</f>
        <v>2514.5100000000002</v>
      </c>
      <c r="N23" s="67"/>
      <c r="O23" s="67">
        <f>O18+SUM(O20:O22)</f>
        <v>30958.600000000002</v>
      </c>
      <c r="P23" s="54"/>
    </row>
    <row r="24" spans="1:19" x14ac:dyDescent="0.4">
      <c r="B24" s="14"/>
      <c r="C24" s="14"/>
      <c r="D24" s="25"/>
      <c r="H24" s="51"/>
      <c r="I24" s="51"/>
      <c r="J24" s="2"/>
      <c r="K24" s="2"/>
      <c r="L24" s="2"/>
      <c r="M24" s="2"/>
      <c r="N24" s="2"/>
      <c r="P24" s="22"/>
    </row>
    <row r="25" spans="1:19" x14ac:dyDescent="0.4">
      <c r="A25" t="s">
        <v>79</v>
      </c>
      <c r="B25" s="50">
        <v>3026.83</v>
      </c>
      <c r="C25" s="50">
        <v>3176.83</v>
      </c>
      <c r="D25" s="50">
        <v>3026.83</v>
      </c>
      <c r="E25" s="50">
        <v>3025</v>
      </c>
      <c r="F25" s="50">
        <f>1500+424+1100</f>
        <v>3024</v>
      </c>
      <c r="G25" s="50">
        <f>2200+500+1098</f>
        <v>3798</v>
      </c>
      <c r="H25" s="50">
        <f>K36</f>
        <v>0</v>
      </c>
      <c r="I25" s="50">
        <f>1000+424+424+1500</f>
        <v>3348</v>
      </c>
      <c r="J25" s="50">
        <f>1560+425+200+424</f>
        <v>2609</v>
      </c>
      <c r="K25" s="50">
        <f>1560+275+200+425</f>
        <v>2460</v>
      </c>
      <c r="L25" s="50">
        <f>1835+416</f>
        <v>2251</v>
      </c>
      <c r="M25" s="50">
        <f>1835+200+130</f>
        <v>2165</v>
      </c>
      <c r="N25" s="50"/>
      <c r="O25" s="89">
        <f>SUM(B25:M25)</f>
        <v>31910.489999999998</v>
      </c>
      <c r="P25" s="22"/>
      <c r="R25" s="2"/>
    </row>
    <row r="26" spans="1:19" x14ac:dyDescent="0.4">
      <c r="B26" s="14"/>
      <c r="C26" s="14"/>
      <c r="D26" s="5"/>
      <c r="P26" s="22"/>
      <c r="R26" s="2"/>
    </row>
    <row r="27" spans="1:19" x14ac:dyDescent="0.4">
      <c r="A27" s="2"/>
      <c r="B27" s="53">
        <f t="shared" ref="B27:L27" si="3">B25-B23</f>
        <v>495.94999999999982</v>
      </c>
      <c r="C27" s="53">
        <f t="shared" si="3"/>
        <v>463.67000000000007</v>
      </c>
      <c r="D27" s="53">
        <f t="shared" si="3"/>
        <v>326.21000000000004</v>
      </c>
      <c r="E27" s="53">
        <f t="shared" si="3"/>
        <v>401.77000000000044</v>
      </c>
      <c r="F27" s="53">
        <f t="shared" si="3"/>
        <v>699.11000000000013</v>
      </c>
      <c r="G27" s="53">
        <f t="shared" si="3"/>
        <v>38.110000000000127</v>
      </c>
      <c r="H27" s="53">
        <f t="shared" si="3"/>
        <v>-2032.22</v>
      </c>
      <c r="I27" s="53">
        <f t="shared" si="3"/>
        <v>917.51000000000022</v>
      </c>
      <c r="J27" s="53">
        <f t="shared" si="3"/>
        <v>21.579999999999927</v>
      </c>
      <c r="K27" s="53">
        <f t="shared" si="3"/>
        <v>99.050000000000182</v>
      </c>
      <c r="L27" s="53">
        <f t="shared" si="3"/>
        <v>-129.34000000000015</v>
      </c>
      <c r="M27" s="53">
        <f>M25-M23</f>
        <v>-349.51000000000022</v>
      </c>
      <c r="N27" s="53"/>
      <c r="O27" s="66">
        <f>SUM(B27:M27)</f>
        <v>951.89000000000055</v>
      </c>
      <c r="P27" s="22"/>
      <c r="R27" s="2"/>
    </row>
    <row r="28" spans="1:19" x14ac:dyDescent="0.4">
      <c r="A28" s="2"/>
      <c r="B28" s="14"/>
      <c r="C28" s="14"/>
      <c r="D28" s="5"/>
      <c r="P28" s="22"/>
      <c r="R28" s="2"/>
    </row>
    <row r="29" spans="1:19" x14ac:dyDescent="0.4">
      <c r="B29" s="14"/>
      <c r="C29" s="14"/>
      <c r="D29" s="5"/>
      <c r="E29" s="51"/>
      <c r="O29" s="2"/>
      <c r="P29" s="22"/>
      <c r="R29" s="2"/>
      <c r="S29" s="2"/>
    </row>
    <row r="30" spans="1:19" x14ac:dyDescent="0.4">
      <c r="E30" s="2"/>
      <c r="F30" s="51"/>
      <c r="G30" s="2"/>
      <c r="I30" s="2"/>
      <c r="J30" s="2"/>
      <c r="K30" s="51"/>
      <c r="M30" s="51"/>
      <c r="N30" s="51"/>
      <c r="P30" s="30"/>
    </row>
    <row r="31" spans="1:19" x14ac:dyDescent="0.4">
      <c r="A31" s="51" t="s">
        <v>91</v>
      </c>
      <c r="H31" s="5"/>
      <c r="J31" s="77"/>
      <c r="K31" s="2"/>
      <c r="N31" s="2"/>
    </row>
    <row r="32" spans="1:19" x14ac:dyDescent="0.4">
      <c r="A32" s="51" t="s">
        <v>92</v>
      </c>
      <c r="J32" s="53"/>
      <c r="L32" s="88"/>
      <c r="Q32" s="53"/>
    </row>
    <row r="33" spans="1:17" x14ac:dyDescent="0.4">
      <c r="A33" s="51" t="s">
        <v>99</v>
      </c>
      <c r="G33" s="53"/>
      <c r="H33" s="53"/>
      <c r="I33" s="53"/>
      <c r="L33" s="65"/>
      <c r="P33" s="2"/>
      <c r="Q33" s="53"/>
    </row>
    <row r="34" spans="1:17" x14ac:dyDescent="0.4">
      <c r="A34" s="51" t="s">
        <v>100</v>
      </c>
      <c r="I34" s="2"/>
      <c r="L34" s="14"/>
      <c r="Q34" s="53"/>
    </row>
    <row r="35" spans="1:17" x14ac:dyDescent="0.4">
      <c r="L35" s="14"/>
    </row>
    <row r="36" spans="1:17" x14ac:dyDescent="0.4">
      <c r="A36" s="2"/>
      <c r="B36" s="53">
        <f t="shared" ref="B36:H36" si="4">3026-B23</f>
        <v>495.11999999999989</v>
      </c>
      <c r="C36" s="53">
        <f t="shared" si="4"/>
        <v>312.84000000000015</v>
      </c>
      <c r="D36" s="53">
        <f t="shared" si="4"/>
        <v>325.38000000000011</v>
      </c>
      <c r="E36" s="53">
        <f t="shared" si="4"/>
        <v>402.77000000000044</v>
      </c>
      <c r="F36" s="53">
        <f t="shared" si="4"/>
        <v>701.11000000000013</v>
      </c>
      <c r="G36" s="53">
        <f t="shared" si="4"/>
        <v>-733.88999999999987</v>
      </c>
      <c r="H36" s="53">
        <f t="shared" si="4"/>
        <v>993.78</v>
      </c>
      <c r="I36" s="53"/>
      <c r="L36" s="65"/>
    </row>
    <row r="37" spans="1:17" x14ac:dyDescent="0.4">
      <c r="L37" s="65"/>
    </row>
    <row r="38" spans="1:17" x14ac:dyDescent="0.4">
      <c r="L38" s="14"/>
    </row>
    <row r="39" spans="1:17" x14ac:dyDescent="0.4">
      <c r="L39" s="14"/>
    </row>
    <row r="40" spans="1:17" x14ac:dyDescent="0.4">
      <c r="L40" s="65"/>
    </row>
    <row r="41" spans="1:17" x14ac:dyDescent="0.4">
      <c r="L41" s="65"/>
    </row>
    <row r="42" spans="1:17" x14ac:dyDescent="0.4">
      <c r="L42" s="65"/>
    </row>
    <row r="43" spans="1:17" x14ac:dyDescent="0.4">
      <c r="B43" s="6"/>
      <c r="L43" s="33"/>
    </row>
    <row r="44" spans="1:17" x14ac:dyDescent="0.4">
      <c r="L44" s="13"/>
    </row>
    <row r="45" spans="1:17" x14ac:dyDescent="0.4">
      <c r="L45" s="13"/>
    </row>
    <row r="46" spans="1:17" x14ac:dyDescent="0.4">
      <c r="F46" s="30"/>
      <c r="L46" s="15"/>
    </row>
    <row r="47" spans="1:17" x14ac:dyDescent="0.4">
      <c r="F47" s="76"/>
    </row>
    <row r="48" spans="1:17" x14ac:dyDescent="0.4">
      <c r="F48" s="25"/>
    </row>
    <row r="49" spans="6:6" x14ac:dyDescent="0.4">
      <c r="F49" s="25"/>
    </row>
    <row r="50" spans="6:6" x14ac:dyDescent="0.4">
      <c r="F50" s="22"/>
    </row>
  </sheetData>
  <phoneticPr fontId="3" type="noConversion"/>
  <pageMargins left="0.25" right="0.25" top="1" bottom="1" header="0.5" footer="0.5"/>
  <pageSetup scale="7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"/>
  <sheetViews>
    <sheetView workbookViewId="0">
      <selection activeCell="F3" sqref="F3"/>
    </sheetView>
  </sheetViews>
  <sheetFormatPr defaultRowHeight="12.7" x14ac:dyDescent="0.4"/>
  <cols>
    <col min="1" max="1" width="28.234375" customWidth="1"/>
    <col min="2" max="2" width="14.1171875" customWidth="1"/>
    <col min="3" max="3" width="10.703125" customWidth="1"/>
    <col min="4" max="4" width="4.703125" customWidth="1"/>
    <col min="9" max="9" width="9.234375" bestFit="1" customWidth="1"/>
    <col min="14" max="14" width="13" customWidth="1"/>
  </cols>
  <sheetData>
    <row r="1" spans="1:16" x14ac:dyDescent="0.4">
      <c r="B1" t="s">
        <v>83</v>
      </c>
      <c r="D1" s="43"/>
      <c r="E1" s="31" t="s">
        <v>48</v>
      </c>
      <c r="F1" s="31" t="s">
        <v>0</v>
      </c>
      <c r="G1" s="31" t="s">
        <v>3</v>
      </c>
      <c r="H1" s="31" t="s">
        <v>10</v>
      </c>
      <c r="I1" s="31" t="s">
        <v>11</v>
      </c>
      <c r="J1" s="31" t="s">
        <v>12</v>
      </c>
      <c r="K1" s="31" t="s">
        <v>13</v>
      </c>
      <c r="L1" s="31"/>
      <c r="M1" s="31"/>
      <c r="N1" s="31" t="s">
        <v>1</v>
      </c>
      <c r="O1" s="31"/>
      <c r="P1" s="31"/>
    </row>
    <row r="2" spans="1:16" x14ac:dyDescent="0.4">
      <c r="A2" t="s">
        <v>71</v>
      </c>
      <c r="B2" s="13">
        <v>4400</v>
      </c>
      <c r="C2" s="2"/>
      <c r="D2" s="22"/>
      <c r="E2" s="1">
        <v>100</v>
      </c>
      <c r="F2" s="1">
        <f>100</f>
        <v>100</v>
      </c>
      <c r="G2" s="1">
        <v>100</v>
      </c>
      <c r="H2" s="1">
        <v>100</v>
      </c>
      <c r="I2" s="1">
        <v>100</v>
      </c>
      <c r="J2" s="1">
        <v>100</v>
      </c>
      <c r="K2" s="1">
        <v>100</v>
      </c>
      <c r="L2" s="1"/>
      <c r="M2" s="1"/>
      <c r="N2" s="5">
        <f>B2-SUM(E2:M2)</f>
        <v>3700</v>
      </c>
      <c r="O2" s="2"/>
    </row>
    <row r="3" spans="1:16" x14ac:dyDescent="0.4">
      <c r="A3" t="s">
        <v>85</v>
      </c>
      <c r="B3" s="16">
        <v>8395</v>
      </c>
      <c r="C3" s="1"/>
      <c r="D3" s="30"/>
      <c r="E3" s="75">
        <v>250</v>
      </c>
      <c r="F3" s="75">
        <v>700</v>
      </c>
      <c r="G3" s="75">
        <v>700</v>
      </c>
      <c r="H3" s="75">
        <v>700</v>
      </c>
      <c r="I3" s="75">
        <v>700</v>
      </c>
      <c r="J3" s="75">
        <v>700</v>
      </c>
      <c r="K3" s="75">
        <v>700</v>
      </c>
      <c r="L3" s="1"/>
      <c r="M3" s="1"/>
      <c r="N3" s="29">
        <f>B3-SUM(E3:K3)</f>
        <v>3945</v>
      </c>
      <c r="O3" s="2"/>
    </row>
    <row r="4" spans="1:16" x14ac:dyDescent="0.4">
      <c r="A4" s="73" t="s">
        <v>45</v>
      </c>
      <c r="B4" s="14">
        <f>SUM(B2:B3)</f>
        <v>12795</v>
      </c>
      <c r="C4" s="14"/>
      <c r="D4" s="24"/>
      <c r="E4" s="14">
        <f t="shared" ref="E4:L4" si="0">SUM(E2:E3)</f>
        <v>350</v>
      </c>
      <c r="F4" s="14">
        <f t="shared" si="0"/>
        <v>800</v>
      </c>
      <c r="G4" s="14">
        <f t="shared" si="0"/>
        <v>800</v>
      </c>
      <c r="H4" s="14">
        <f t="shared" si="0"/>
        <v>800</v>
      </c>
      <c r="I4" s="14">
        <f t="shared" si="0"/>
        <v>800</v>
      </c>
      <c r="J4" s="14">
        <f t="shared" si="0"/>
        <v>800</v>
      </c>
      <c r="K4" s="14">
        <f t="shared" si="0"/>
        <v>800</v>
      </c>
      <c r="L4" s="14">
        <f t="shared" si="0"/>
        <v>0</v>
      </c>
      <c r="M4" s="14"/>
      <c r="N4" s="14">
        <f>SUM(N2:N3)</f>
        <v>7645</v>
      </c>
    </row>
    <row r="5" spans="1:16" x14ac:dyDescent="0.4">
      <c r="B5" s="14"/>
      <c r="C5" s="14"/>
    </row>
    <row r="6" spans="1:16" x14ac:dyDescent="0.4">
      <c r="B6" s="14"/>
      <c r="C6" s="13" t="s">
        <v>2</v>
      </c>
    </row>
    <row r="7" spans="1:16" x14ac:dyDescent="0.4">
      <c r="B7" s="7"/>
      <c r="C7" s="11"/>
      <c r="D7" s="2"/>
      <c r="F7" s="2"/>
    </row>
    <row r="8" spans="1:16" x14ac:dyDescent="0.4">
      <c r="B8" s="8"/>
      <c r="C8" s="14"/>
    </row>
    <row r="9" spans="1:16" x14ac:dyDescent="0.4">
      <c r="A9" t="s">
        <v>15</v>
      </c>
      <c r="B9" s="7"/>
      <c r="C9" s="14">
        <f>B4</f>
        <v>12795</v>
      </c>
    </row>
    <row r="10" spans="1:16" x14ac:dyDescent="0.4">
      <c r="B10" s="10"/>
      <c r="C10" s="14"/>
    </row>
    <row r="11" spans="1:16" x14ac:dyDescent="0.4">
      <c r="B11" s="10"/>
      <c r="C11" s="14"/>
    </row>
    <row r="12" spans="1:16" x14ac:dyDescent="0.4">
      <c r="B12" s="10"/>
      <c r="C12" s="14"/>
      <c r="D12" s="2"/>
      <c r="G12" s="2"/>
    </row>
    <row r="13" spans="1:16" x14ac:dyDescent="0.4">
      <c r="A13" t="s">
        <v>64</v>
      </c>
      <c r="B13" s="10">
        <f>E4</f>
        <v>350</v>
      </c>
      <c r="C13" s="14">
        <f t="shared" ref="C13:C19" si="1">C12-B13</f>
        <v>-350</v>
      </c>
    </row>
    <row r="14" spans="1:16" x14ac:dyDescent="0.4">
      <c r="A14" t="s">
        <v>65</v>
      </c>
      <c r="B14" s="24">
        <f>F4</f>
        <v>800</v>
      </c>
      <c r="C14" s="14">
        <f t="shared" si="1"/>
        <v>-1150</v>
      </c>
    </row>
    <row r="15" spans="1:16" x14ac:dyDescent="0.4">
      <c r="A15" t="s">
        <v>66</v>
      </c>
      <c r="B15" s="25">
        <f>G4</f>
        <v>800</v>
      </c>
      <c r="C15" s="14">
        <f t="shared" si="1"/>
        <v>-1950</v>
      </c>
    </row>
    <row r="16" spans="1:16" x14ac:dyDescent="0.4">
      <c r="A16" t="s">
        <v>67</v>
      </c>
      <c r="B16" s="25">
        <f>J4</f>
        <v>800</v>
      </c>
      <c r="C16" s="14">
        <f t="shared" si="1"/>
        <v>-2750</v>
      </c>
      <c r="D16" s="2"/>
    </row>
    <row r="17" spans="1:9" x14ac:dyDescent="0.4">
      <c r="A17" t="s">
        <v>73</v>
      </c>
      <c r="B17" s="61">
        <f>I4</f>
        <v>800</v>
      </c>
      <c r="C17" s="14">
        <f t="shared" si="1"/>
        <v>-3550</v>
      </c>
      <c r="D17" s="2"/>
    </row>
    <row r="18" spans="1:9" x14ac:dyDescent="0.4">
      <c r="A18" t="s">
        <v>81</v>
      </c>
      <c r="B18" s="61">
        <f>J4</f>
        <v>800</v>
      </c>
      <c r="C18" s="14">
        <f t="shared" si="1"/>
        <v>-4350</v>
      </c>
    </row>
    <row r="19" spans="1:9" x14ac:dyDescent="0.4">
      <c r="A19" t="s">
        <v>82</v>
      </c>
      <c r="B19" s="61">
        <f>K4</f>
        <v>800</v>
      </c>
      <c r="C19" s="14">
        <f t="shared" si="1"/>
        <v>-5150</v>
      </c>
      <c r="D19" s="2"/>
      <c r="F19" s="2"/>
      <c r="I19" s="2"/>
    </row>
    <row r="21" spans="1:9" x14ac:dyDescent="0.4">
      <c r="A21" t="s">
        <v>63</v>
      </c>
    </row>
    <row r="22" spans="1:9" x14ac:dyDescent="0.4">
      <c r="A22" t="s">
        <v>62</v>
      </c>
    </row>
    <row r="24" spans="1:9" x14ac:dyDescent="0.4">
      <c r="B24" s="3"/>
    </row>
    <row r="27" spans="1:9" x14ac:dyDescent="0.4">
      <c r="A27" t="s">
        <v>77</v>
      </c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workbookViewId="0">
      <selection activeCell="L5" sqref="L5"/>
    </sheetView>
  </sheetViews>
  <sheetFormatPr defaultRowHeight="12.7" x14ac:dyDescent="0.4"/>
  <cols>
    <col min="1" max="1" width="28.234375" customWidth="1"/>
    <col min="2" max="2" width="14.1171875" customWidth="1"/>
    <col min="3" max="3" width="10.703125" customWidth="1"/>
    <col min="4" max="4" width="4.703125" customWidth="1"/>
    <col min="6" max="6" width="9.41015625" bestFit="1" customWidth="1"/>
    <col min="7" max="8" width="9.234375" bestFit="1" customWidth="1"/>
  </cols>
  <sheetData>
    <row r="1" spans="1:9" x14ac:dyDescent="0.4">
      <c r="B1" t="s">
        <v>70</v>
      </c>
      <c r="D1" s="43"/>
      <c r="E1" s="31" t="s">
        <v>13</v>
      </c>
      <c r="F1" s="31" t="s">
        <v>45</v>
      </c>
      <c r="G1" s="31" t="s">
        <v>72</v>
      </c>
      <c r="H1" s="31" t="s">
        <v>45</v>
      </c>
    </row>
    <row r="2" spans="1:9" x14ac:dyDescent="0.4">
      <c r="A2" t="s">
        <v>71</v>
      </c>
      <c r="B2" s="3">
        <v>1164</v>
      </c>
      <c r="C2" s="2"/>
      <c r="D2" s="22"/>
      <c r="E2" s="45">
        <v>50</v>
      </c>
      <c r="F2" s="45">
        <f>B2-SUM(D2:E2)</f>
        <v>1114</v>
      </c>
      <c r="G2" s="45">
        <v>400</v>
      </c>
      <c r="H2" s="45">
        <f>F2-G2</f>
        <v>714</v>
      </c>
      <c r="I2" s="2"/>
    </row>
    <row r="3" spans="1:9" x14ac:dyDescent="0.4">
      <c r="A3" t="s">
        <v>60</v>
      </c>
      <c r="B3" s="3">
        <v>5200</v>
      </c>
      <c r="C3" s="1"/>
      <c r="D3" s="30"/>
      <c r="E3" s="64">
        <v>300</v>
      </c>
      <c r="F3" s="45">
        <f>B3-SUM(D3:E3)</f>
        <v>4900</v>
      </c>
      <c r="G3" s="45">
        <v>500</v>
      </c>
      <c r="H3" s="45">
        <f>F3-G3</f>
        <v>4400</v>
      </c>
    </row>
    <row r="4" spans="1:9" x14ac:dyDescent="0.4">
      <c r="A4" t="s">
        <v>61</v>
      </c>
      <c r="B4" s="13">
        <v>2800</v>
      </c>
      <c r="C4" s="14"/>
      <c r="D4" s="26"/>
      <c r="E4" s="45">
        <v>400</v>
      </c>
      <c r="F4" s="45">
        <f>B4-SUM(D4:E4)</f>
        <v>2400</v>
      </c>
      <c r="G4" s="45"/>
      <c r="H4" s="45">
        <f>F4-G4</f>
        <v>2400</v>
      </c>
    </row>
    <row r="5" spans="1:9" x14ac:dyDescent="0.4">
      <c r="A5" t="s">
        <v>46</v>
      </c>
      <c r="B5" s="15">
        <v>120</v>
      </c>
      <c r="C5" s="15"/>
      <c r="D5" s="16"/>
      <c r="E5" s="47">
        <v>60</v>
      </c>
      <c r="F5" s="47">
        <f>B5-SUM(D5:E5)</f>
        <v>60</v>
      </c>
      <c r="G5" s="62">
        <v>60</v>
      </c>
      <c r="H5" s="47">
        <f>F5-G5</f>
        <v>0</v>
      </c>
    </row>
    <row r="6" spans="1:9" x14ac:dyDescent="0.4">
      <c r="B6" s="14">
        <f>SUM(B2:B5)</f>
        <v>9284</v>
      </c>
      <c r="C6" s="14"/>
      <c r="D6" s="24"/>
      <c r="E6" s="63">
        <f>SUM(E2:E5)</f>
        <v>810</v>
      </c>
      <c r="F6" s="63">
        <f>SUM(F2:F5)</f>
        <v>8474</v>
      </c>
      <c r="G6" s="63">
        <f>SUM(G2:G5)</f>
        <v>960</v>
      </c>
      <c r="H6" s="63">
        <f>SUM(H2:H5)</f>
        <v>7514</v>
      </c>
      <c r="I6" s="2"/>
    </row>
    <row r="7" spans="1:9" x14ac:dyDescent="0.4">
      <c r="B7" s="14"/>
      <c r="C7" s="14"/>
      <c r="F7" s="5"/>
    </row>
    <row r="8" spans="1:9" x14ac:dyDescent="0.4">
      <c r="B8" s="14"/>
      <c r="C8" s="13" t="s">
        <v>2</v>
      </c>
      <c r="E8" s="2"/>
      <c r="F8" s="5"/>
    </row>
    <row r="9" spans="1:9" x14ac:dyDescent="0.4">
      <c r="B9" s="7"/>
      <c r="C9" s="11"/>
      <c r="D9" s="2"/>
      <c r="E9" s="2"/>
    </row>
    <row r="10" spans="1:9" x14ac:dyDescent="0.4">
      <c r="B10" s="8"/>
      <c r="C10" s="14"/>
    </row>
    <row r="11" spans="1:9" x14ac:dyDescent="0.4">
      <c r="A11" t="s">
        <v>15</v>
      </c>
      <c r="B11" s="7"/>
      <c r="C11" s="14">
        <f>B6</f>
        <v>9284</v>
      </c>
    </row>
    <row r="12" spans="1:9" x14ac:dyDescent="0.4">
      <c r="B12" s="10"/>
      <c r="C12" s="14">
        <f>C11-B12</f>
        <v>9284</v>
      </c>
    </row>
    <row r="13" spans="1:9" x14ac:dyDescent="0.4">
      <c r="A13" t="s">
        <v>49</v>
      </c>
      <c r="B13" s="10">
        <f>E6</f>
        <v>810</v>
      </c>
      <c r="C13" s="14">
        <f>C12-B13</f>
        <v>8474</v>
      </c>
    </row>
    <row r="14" spans="1:9" x14ac:dyDescent="0.4">
      <c r="A14" t="s">
        <v>50</v>
      </c>
      <c r="B14" s="10">
        <f>E6</f>
        <v>810</v>
      </c>
      <c r="C14" s="14">
        <f>C13-B14</f>
        <v>7664</v>
      </c>
      <c r="D14" s="2"/>
    </row>
    <row r="15" spans="1:9" x14ac:dyDescent="0.4">
      <c r="B15" s="25"/>
      <c r="C15" s="22"/>
    </row>
    <row r="16" spans="1:9" x14ac:dyDescent="0.4">
      <c r="A16" s="22"/>
      <c r="B16" s="27"/>
      <c r="C16" s="22"/>
    </row>
    <row r="17" spans="1:3" x14ac:dyDescent="0.4">
      <c r="A17" s="22"/>
      <c r="B17" s="25"/>
      <c r="C17" s="22"/>
    </row>
    <row r="18" spans="1:3" x14ac:dyDescent="0.4">
      <c r="A18" s="22"/>
      <c r="B18" s="22"/>
      <c r="C18" s="22"/>
    </row>
    <row r="20" spans="1:3" x14ac:dyDescent="0.4">
      <c r="B20" s="3"/>
    </row>
    <row r="23" spans="1:3" x14ac:dyDescent="0.4">
      <c r="A23" t="s">
        <v>63</v>
      </c>
    </row>
    <row r="24" spans="1:3" x14ac:dyDescent="0.4">
      <c r="A24" t="s">
        <v>62</v>
      </c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7"/>
  <sheetViews>
    <sheetView workbookViewId="0">
      <selection activeCell="A41" sqref="A41"/>
    </sheetView>
  </sheetViews>
  <sheetFormatPr defaultRowHeight="12.7" x14ac:dyDescent="0.4"/>
  <cols>
    <col min="1" max="1" width="20.41015625" customWidth="1"/>
    <col min="2" max="2" width="14.1171875" customWidth="1"/>
    <col min="3" max="3" width="10.703125" customWidth="1"/>
    <col min="4" max="4" width="10.5859375" customWidth="1"/>
    <col min="5" max="6" width="10.703125" customWidth="1"/>
    <col min="7" max="7" width="11.87890625" customWidth="1"/>
    <col min="8" max="8" width="1" customWidth="1"/>
  </cols>
  <sheetData>
    <row r="1" spans="1:8" x14ac:dyDescent="0.4">
      <c r="B1" t="s">
        <v>14</v>
      </c>
      <c r="E1" t="s">
        <v>4</v>
      </c>
      <c r="F1" t="s">
        <v>5</v>
      </c>
      <c r="G1" t="s">
        <v>1</v>
      </c>
    </row>
    <row r="3" spans="1:8" x14ac:dyDescent="0.4">
      <c r="B3" s="1"/>
      <c r="C3" s="1"/>
      <c r="D3" s="1"/>
      <c r="E3" s="1"/>
      <c r="F3" s="1"/>
      <c r="G3" s="1"/>
    </row>
    <row r="4" spans="1:8" x14ac:dyDescent="0.4">
      <c r="A4" t="s">
        <v>8</v>
      </c>
      <c r="B4" s="3">
        <v>11499</v>
      </c>
      <c r="C4" s="3"/>
      <c r="D4" s="3"/>
      <c r="E4" s="3"/>
      <c r="F4" s="3">
        <f>2750-247.5</f>
        <v>2502.5</v>
      </c>
      <c r="G4" s="3">
        <f>B4-SUM(C4:F4)</f>
        <v>8996.5</v>
      </c>
      <c r="H4" s="2"/>
    </row>
    <row r="5" spans="1:8" x14ac:dyDescent="0.4">
      <c r="A5" t="s">
        <v>9</v>
      </c>
      <c r="B5" s="3">
        <v>1975.79</v>
      </c>
      <c r="C5" s="3"/>
      <c r="D5" s="3"/>
      <c r="E5" s="3"/>
      <c r="F5" s="3">
        <v>50</v>
      </c>
      <c r="G5" s="3">
        <f>B5-SUM(C5:F5)</f>
        <v>1925.79</v>
      </c>
    </row>
    <row r="6" spans="1:8" x14ac:dyDescent="0.4">
      <c r="B6" s="4"/>
      <c r="C6" s="4"/>
      <c r="D6" s="4"/>
      <c r="E6" s="4"/>
      <c r="F6" s="4"/>
      <c r="G6" s="4"/>
    </row>
    <row r="7" spans="1:8" x14ac:dyDescent="0.4">
      <c r="B7" s="3">
        <f>SUM(B4:B6)</f>
        <v>13474.79</v>
      </c>
      <c r="C7" s="3"/>
      <c r="D7" s="3"/>
      <c r="E7" s="3">
        <f>SUM(E4:E6)</f>
        <v>0</v>
      </c>
      <c r="F7" s="3">
        <f>SUM(F4:F6)</f>
        <v>2552.5</v>
      </c>
      <c r="G7" s="3">
        <f>B7-SUM(C7:F7)</f>
        <v>10922.29</v>
      </c>
      <c r="H7" s="2"/>
    </row>
    <row r="8" spans="1:8" x14ac:dyDescent="0.4">
      <c r="B8" s="3"/>
      <c r="C8" s="3"/>
      <c r="D8" s="3"/>
      <c r="E8" s="3"/>
      <c r="F8" s="3"/>
      <c r="G8" s="3"/>
    </row>
    <row r="9" spans="1:8" x14ac:dyDescent="0.4">
      <c r="B9" s="3"/>
      <c r="C9" s="3" t="s">
        <v>2</v>
      </c>
      <c r="D9" s="3"/>
      <c r="E9" s="3"/>
      <c r="F9" s="3"/>
      <c r="G9" s="3"/>
    </row>
    <row r="10" spans="1:8" x14ac:dyDescent="0.4">
      <c r="B10" s="17"/>
      <c r="C10" s="20"/>
      <c r="D10" s="1"/>
      <c r="E10" s="1"/>
      <c r="F10" s="1"/>
      <c r="G10" s="1"/>
    </row>
    <row r="11" spans="1:8" x14ac:dyDescent="0.4">
      <c r="B11" s="18"/>
      <c r="C11" s="20"/>
      <c r="D11" s="1"/>
      <c r="E11" s="1"/>
      <c r="F11" s="1"/>
      <c r="G11" s="1"/>
    </row>
    <row r="12" spans="1:8" x14ac:dyDescent="0.4">
      <c r="A12" s="21">
        <v>40863</v>
      </c>
      <c r="B12" s="17">
        <v>0</v>
      </c>
      <c r="C12" s="3">
        <f>B7</f>
        <v>13474.79</v>
      </c>
      <c r="D12" s="1"/>
      <c r="E12" s="1"/>
      <c r="F12" s="1"/>
      <c r="G12" s="1"/>
    </row>
    <row r="13" spans="1:8" x14ac:dyDescent="0.4">
      <c r="B13" s="12"/>
      <c r="C13" s="3">
        <f>C12</f>
        <v>13474.79</v>
      </c>
      <c r="D13" s="2"/>
    </row>
    <row r="14" spans="1:8" x14ac:dyDescent="0.4">
      <c r="A14" t="s">
        <v>6</v>
      </c>
      <c r="B14" s="12">
        <f>E7</f>
        <v>0</v>
      </c>
      <c r="C14" s="3">
        <f>C13-B14</f>
        <v>13474.79</v>
      </c>
    </row>
    <row r="15" spans="1:8" x14ac:dyDescent="0.4">
      <c r="A15" t="s">
        <v>7</v>
      </c>
      <c r="B15" s="19">
        <f>F7</f>
        <v>2552.5</v>
      </c>
      <c r="C15" s="3">
        <f>C14-B15</f>
        <v>10922.29</v>
      </c>
    </row>
    <row r="16" spans="1:8" x14ac:dyDescent="0.4">
      <c r="B16" s="17"/>
      <c r="C16" s="3"/>
    </row>
    <row r="17" spans="1:6" x14ac:dyDescent="0.4">
      <c r="B17" s="12"/>
      <c r="C17" s="3"/>
    </row>
    <row r="18" spans="1:6" x14ac:dyDescent="0.4">
      <c r="B18" s="5"/>
    </row>
    <row r="19" spans="1:6" x14ac:dyDescent="0.4">
      <c r="B19" s="7"/>
    </row>
    <row r="20" spans="1:6" x14ac:dyDescent="0.4">
      <c r="B20" s="8"/>
    </row>
    <row r="21" spans="1:6" x14ac:dyDescent="0.4">
      <c r="B21" s="7"/>
      <c r="F21" s="2"/>
    </row>
    <row r="22" spans="1:6" x14ac:dyDescent="0.4">
      <c r="B22" s="9"/>
    </row>
    <row r="23" spans="1:6" x14ac:dyDescent="0.4">
      <c r="B23" s="9"/>
    </row>
    <row r="24" spans="1:6" x14ac:dyDescent="0.4">
      <c r="A24" s="6"/>
      <c r="B24" s="10"/>
    </row>
    <row r="25" spans="1:6" x14ac:dyDescent="0.4">
      <c r="B25" s="7"/>
    </row>
    <row r="26" spans="1:6" x14ac:dyDescent="0.4">
      <c r="B26" s="9"/>
    </row>
    <row r="27" spans="1:6" x14ac:dyDescent="0.4">
      <c r="B27" s="5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3"/>
  <sheetViews>
    <sheetView zoomScaleNormal="100" workbookViewId="0">
      <pane xSplit="1" topLeftCell="S1" activePane="topRight" state="frozen"/>
      <selection pane="topRight" activeCell="Y19" sqref="Y19"/>
    </sheetView>
  </sheetViews>
  <sheetFormatPr defaultRowHeight="12.7" x14ac:dyDescent="0.4"/>
  <cols>
    <col min="1" max="1" width="23.41015625" customWidth="1"/>
    <col min="2" max="2" width="14.5859375" customWidth="1"/>
    <col min="3" max="3" width="5.87890625" hidden="1" customWidth="1"/>
    <col min="4" max="4" width="9.1171875" hidden="1" customWidth="1"/>
    <col min="5" max="5" width="9.5859375" hidden="1" customWidth="1"/>
    <col min="6" max="6" width="9.234375" hidden="1" customWidth="1"/>
    <col min="7" max="7" width="9.1171875" hidden="1" customWidth="1"/>
    <col min="8" max="8" width="9.234375" hidden="1" customWidth="1"/>
    <col min="9" max="9" width="10.234375" hidden="1" customWidth="1"/>
    <col min="10" max="10" width="10.41015625" hidden="1" customWidth="1"/>
    <col min="11" max="12" width="12" hidden="1" customWidth="1"/>
    <col min="13" max="13" width="11.87890625" hidden="1" customWidth="1"/>
    <col min="14" max="15" width="10.234375" hidden="1" customWidth="1"/>
    <col min="16" max="16" width="10.234375" customWidth="1"/>
    <col min="17" max="17" width="11" customWidth="1"/>
    <col min="18" max="19" width="12.703125" customWidth="1"/>
    <col min="20" max="20" width="2.41015625" customWidth="1"/>
    <col min="21" max="21" width="10" customWidth="1"/>
    <col min="22" max="22" width="10.87890625" customWidth="1"/>
    <col min="23" max="23" width="9.234375" customWidth="1"/>
    <col min="24" max="24" width="10.87890625" bestFit="1" customWidth="1"/>
  </cols>
  <sheetData>
    <row r="1" spans="1:27" x14ac:dyDescent="0.4">
      <c r="A1" s="2" t="s">
        <v>30</v>
      </c>
    </row>
    <row r="2" spans="1:27" x14ac:dyDescent="0.4">
      <c r="C2" t="s">
        <v>0</v>
      </c>
      <c r="D2" t="s">
        <v>3</v>
      </c>
      <c r="E2" t="s">
        <v>10</v>
      </c>
      <c r="F2" t="s">
        <v>11</v>
      </c>
      <c r="G2" t="s">
        <v>12</v>
      </c>
      <c r="H2" t="s">
        <v>13</v>
      </c>
      <c r="I2" s="71" t="s">
        <v>41</v>
      </c>
      <c r="J2" s="40" t="s">
        <v>44</v>
      </c>
      <c r="K2" s="71" t="s">
        <v>51</v>
      </c>
      <c r="L2" s="71" t="s">
        <v>52</v>
      </c>
      <c r="M2" s="71" t="s">
        <v>47</v>
      </c>
      <c r="N2" s="71" t="s">
        <v>48</v>
      </c>
      <c r="O2" s="71" t="s">
        <v>0</v>
      </c>
      <c r="P2" s="71" t="s">
        <v>3</v>
      </c>
      <c r="Q2" s="71" t="s">
        <v>10</v>
      </c>
      <c r="R2" s="71" t="s">
        <v>11</v>
      </c>
      <c r="S2" s="71" t="s">
        <v>12</v>
      </c>
      <c r="T2" s="71"/>
      <c r="U2" s="71" t="s">
        <v>13</v>
      </c>
      <c r="V2" t="s">
        <v>58</v>
      </c>
    </row>
    <row r="3" spans="1:27" x14ac:dyDescent="0.4">
      <c r="A3" t="s">
        <v>16</v>
      </c>
      <c r="B3" s="14"/>
      <c r="C3" s="14">
        <v>50</v>
      </c>
      <c r="D3" s="14">
        <v>50</v>
      </c>
      <c r="E3" s="14">
        <v>50</v>
      </c>
      <c r="F3" s="14">
        <v>50</v>
      </c>
      <c r="G3" s="14">
        <v>50</v>
      </c>
      <c r="H3" s="14">
        <v>50</v>
      </c>
      <c r="I3" s="13">
        <v>50</v>
      </c>
      <c r="J3" s="26">
        <v>50</v>
      </c>
      <c r="K3" s="65">
        <v>50</v>
      </c>
      <c r="L3" s="65">
        <v>67</v>
      </c>
      <c r="M3" s="65">
        <v>85.85</v>
      </c>
      <c r="N3" s="65">
        <v>84</v>
      </c>
      <c r="O3" s="65">
        <v>100</v>
      </c>
      <c r="P3" s="65">
        <v>119</v>
      </c>
      <c r="Q3" s="65">
        <v>200</v>
      </c>
      <c r="R3" s="65">
        <v>100</v>
      </c>
      <c r="S3" s="65">
        <v>152</v>
      </c>
      <c r="T3" s="65" t="s">
        <v>69</v>
      </c>
      <c r="U3" s="65">
        <v>100</v>
      </c>
      <c r="V3" s="65"/>
      <c r="W3" t="s">
        <v>55</v>
      </c>
    </row>
    <row r="4" spans="1:27" ht="14.25" customHeight="1" x14ac:dyDescent="0.4">
      <c r="A4" t="s">
        <v>17</v>
      </c>
      <c r="B4" s="14"/>
      <c r="C4" s="14">
        <v>35</v>
      </c>
      <c r="D4" s="14">
        <v>35</v>
      </c>
      <c r="E4" s="14">
        <v>20</v>
      </c>
      <c r="F4" s="14">
        <v>30</v>
      </c>
      <c r="G4" s="14">
        <v>30</v>
      </c>
      <c r="H4" s="14">
        <v>50</v>
      </c>
      <c r="I4" s="14">
        <v>50</v>
      </c>
      <c r="J4" s="26">
        <v>24.89</v>
      </c>
      <c r="K4" s="65">
        <v>35</v>
      </c>
      <c r="L4" s="65">
        <v>35</v>
      </c>
      <c r="M4" s="65">
        <v>35</v>
      </c>
      <c r="N4" s="65">
        <v>35</v>
      </c>
      <c r="O4" s="65">
        <v>35</v>
      </c>
      <c r="P4" s="65">
        <v>35</v>
      </c>
      <c r="Q4" s="55">
        <v>45</v>
      </c>
      <c r="R4" s="65">
        <v>35</v>
      </c>
      <c r="S4" s="65">
        <v>35</v>
      </c>
      <c r="T4" s="65" t="s">
        <v>69</v>
      </c>
      <c r="U4" s="65"/>
      <c r="V4" s="65">
        <v>35</v>
      </c>
    </row>
    <row r="5" spans="1:27" ht="14.25" hidden="1" customHeight="1" x14ac:dyDescent="0.4">
      <c r="A5" t="s">
        <v>80</v>
      </c>
      <c r="B5" s="14"/>
      <c r="C5" s="14"/>
      <c r="D5" s="14"/>
      <c r="E5" s="14"/>
      <c r="F5" s="14"/>
      <c r="G5" s="14"/>
      <c r="H5" s="14"/>
      <c r="I5" s="14"/>
      <c r="J5" s="26"/>
      <c r="K5" s="65"/>
      <c r="L5" s="65">
        <v>70</v>
      </c>
      <c r="M5" s="65">
        <v>4.29</v>
      </c>
      <c r="N5" s="65"/>
      <c r="O5" s="65">
        <v>0</v>
      </c>
      <c r="P5" s="65">
        <v>0</v>
      </c>
      <c r="Q5" s="55">
        <v>0</v>
      </c>
      <c r="R5" s="65">
        <v>0</v>
      </c>
      <c r="S5" s="65">
        <v>0</v>
      </c>
      <c r="T5" s="65"/>
      <c r="U5" s="65">
        <v>0</v>
      </c>
      <c r="V5" s="65"/>
    </row>
    <row r="6" spans="1:27" ht="14.25" customHeight="1" x14ac:dyDescent="0.4">
      <c r="A6" t="s">
        <v>84</v>
      </c>
      <c r="B6" s="13"/>
      <c r="C6" s="14"/>
      <c r="D6" s="14"/>
      <c r="E6" s="14"/>
      <c r="F6" s="14"/>
      <c r="G6" s="14"/>
      <c r="H6" s="14"/>
      <c r="I6" s="14">
        <v>300</v>
      </c>
      <c r="J6" s="14">
        <v>300</v>
      </c>
      <c r="K6" s="14">
        <v>300</v>
      </c>
      <c r="L6" s="14">
        <v>300</v>
      </c>
      <c r="M6" s="14">
        <v>600</v>
      </c>
      <c r="N6" s="14">
        <v>40</v>
      </c>
      <c r="O6" s="14">
        <v>720</v>
      </c>
      <c r="P6" s="14">
        <f>737</f>
        <v>737</v>
      </c>
      <c r="Q6" s="14">
        <v>700</v>
      </c>
      <c r="R6" s="14">
        <v>700</v>
      </c>
      <c r="S6" s="14">
        <v>700</v>
      </c>
      <c r="T6" s="65" t="s">
        <v>69</v>
      </c>
      <c r="U6" s="14">
        <v>700</v>
      </c>
    </row>
    <row r="7" spans="1:27" x14ac:dyDescent="0.4">
      <c r="A7" t="s">
        <v>38</v>
      </c>
      <c r="B7" s="14"/>
      <c r="C7" s="14"/>
      <c r="D7" s="14"/>
      <c r="E7" s="14"/>
      <c r="F7" s="14"/>
      <c r="G7" s="14"/>
      <c r="H7" s="14">
        <v>10.48</v>
      </c>
      <c r="I7" s="14">
        <v>41.37</v>
      </c>
      <c r="J7" s="26">
        <v>41.37</v>
      </c>
      <c r="K7" s="65">
        <v>41.37</v>
      </c>
      <c r="L7" s="65">
        <v>41.37</v>
      </c>
      <c r="M7" s="65">
        <v>0</v>
      </c>
      <c r="N7" s="65">
        <v>0</v>
      </c>
      <c r="O7" s="65">
        <v>0</v>
      </c>
      <c r="P7" s="65">
        <v>0</v>
      </c>
      <c r="Q7" s="65">
        <v>4.34</v>
      </c>
      <c r="R7" s="65">
        <v>6</v>
      </c>
      <c r="S7" s="65">
        <v>7</v>
      </c>
      <c r="T7" s="65" t="s">
        <v>69</v>
      </c>
      <c r="U7" s="60">
        <v>7</v>
      </c>
      <c r="V7" s="65">
        <v>17.37</v>
      </c>
    </row>
    <row r="8" spans="1:27" x14ac:dyDescent="0.4">
      <c r="A8" t="s">
        <v>19</v>
      </c>
      <c r="B8" s="14"/>
      <c r="C8" s="14">
        <v>13.69</v>
      </c>
      <c r="D8" s="14">
        <v>14.84</v>
      </c>
      <c r="E8" s="14">
        <v>12.93</v>
      </c>
      <c r="F8" s="14">
        <v>42.76</v>
      </c>
      <c r="G8" s="14">
        <v>12.6</v>
      </c>
      <c r="H8" s="14">
        <v>22.46</v>
      </c>
      <c r="I8" s="14">
        <v>35</v>
      </c>
      <c r="J8" s="26">
        <v>99.81</v>
      </c>
      <c r="K8" s="65">
        <v>97.78</v>
      </c>
      <c r="L8" s="65">
        <v>79.62</v>
      </c>
      <c r="M8" s="65">
        <v>15.92</v>
      </c>
      <c r="N8" s="65">
        <v>15.71</v>
      </c>
      <c r="O8" s="65">
        <v>15.92</v>
      </c>
      <c r="P8" s="65">
        <v>16.68</v>
      </c>
      <c r="Q8" s="55">
        <v>16.22</v>
      </c>
      <c r="R8" s="65">
        <v>16.420000000000002</v>
      </c>
      <c r="S8" s="65">
        <v>16.309999999999999</v>
      </c>
      <c r="T8" s="65" t="s">
        <v>69</v>
      </c>
      <c r="U8" s="60">
        <v>15</v>
      </c>
      <c r="V8" s="65">
        <v>17.13</v>
      </c>
      <c r="W8" s="2"/>
    </row>
    <row r="9" spans="1:27" ht="14.25" customHeight="1" x14ac:dyDescent="0.4">
      <c r="A9" t="s">
        <v>20</v>
      </c>
      <c r="B9" s="14"/>
      <c r="C9" s="14">
        <v>253</v>
      </c>
      <c r="D9" s="14">
        <v>261</v>
      </c>
      <c r="E9" s="14">
        <v>261</v>
      </c>
      <c r="F9" s="14">
        <v>261</v>
      </c>
      <c r="G9" s="14">
        <v>261</v>
      </c>
      <c r="H9" s="14">
        <v>261</v>
      </c>
      <c r="I9" s="14">
        <v>261</v>
      </c>
      <c r="J9" s="26">
        <v>270</v>
      </c>
      <c r="K9" s="65">
        <v>270</v>
      </c>
      <c r="L9" s="65">
        <v>270</v>
      </c>
      <c r="M9" s="65">
        <v>270</v>
      </c>
      <c r="N9" s="65">
        <v>270</v>
      </c>
      <c r="O9" s="65">
        <v>270</v>
      </c>
      <c r="P9" s="65">
        <v>270</v>
      </c>
      <c r="Q9" s="55">
        <v>270</v>
      </c>
      <c r="R9" s="65">
        <v>270</v>
      </c>
      <c r="S9" s="65">
        <v>270</v>
      </c>
      <c r="T9" s="65" t="s">
        <v>69</v>
      </c>
      <c r="U9" s="65">
        <v>270</v>
      </c>
      <c r="V9" s="65">
        <v>261</v>
      </c>
    </row>
    <row r="10" spans="1:27" ht="17.25" customHeight="1" x14ac:dyDescent="0.4">
      <c r="A10" t="s">
        <v>21</v>
      </c>
      <c r="B10" s="14"/>
      <c r="C10" s="14">
        <v>25</v>
      </c>
      <c r="D10" s="14">
        <v>25</v>
      </c>
      <c r="E10" s="14">
        <v>25</v>
      </c>
      <c r="F10" s="14">
        <v>25</v>
      </c>
      <c r="G10" s="14">
        <v>25</v>
      </c>
      <c r="H10" s="14">
        <v>25</v>
      </c>
      <c r="I10" s="14">
        <v>400</v>
      </c>
      <c r="J10" s="14">
        <v>400</v>
      </c>
      <c r="K10" s="14">
        <v>400</v>
      </c>
      <c r="L10" s="14">
        <v>400</v>
      </c>
      <c r="M10" s="14">
        <v>100</v>
      </c>
      <c r="N10" s="14">
        <v>305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/>
      <c r="U10" s="65">
        <v>0</v>
      </c>
      <c r="V10" s="65">
        <v>660</v>
      </c>
      <c r="W10" t="s">
        <v>54</v>
      </c>
    </row>
    <row r="11" spans="1:27" ht="17.25" customHeight="1" x14ac:dyDescent="0.4">
      <c r="A11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v>25</v>
      </c>
      <c r="R11" s="14">
        <v>19.350000000000001</v>
      </c>
      <c r="S11" s="14">
        <v>21.98</v>
      </c>
      <c r="T11" s="65" t="s">
        <v>69</v>
      </c>
      <c r="U11" s="65">
        <v>0</v>
      </c>
      <c r="V11" s="65"/>
    </row>
    <row r="12" spans="1:27" x14ac:dyDescent="0.4">
      <c r="A12" t="s">
        <v>25</v>
      </c>
      <c r="B12" s="14"/>
      <c r="C12" s="14">
        <v>114.27</v>
      </c>
      <c r="D12" s="14">
        <v>117</v>
      </c>
      <c r="E12" s="14">
        <v>166.73</v>
      </c>
      <c r="F12" s="14">
        <v>94.16</v>
      </c>
      <c r="G12" s="14">
        <v>101.88</v>
      </c>
      <c r="H12" s="14">
        <v>133</v>
      </c>
      <c r="I12" s="14">
        <v>113.28</v>
      </c>
      <c r="J12" s="33">
        <v>64.31</v>
      </c>
      <c r="K12" s="65">
        <v>49.1</v>
      </c>
      <c r="L12" s="65">
        <v>45.51</v>
      </c>
      <c r="M12" s="65">
        <v>128.58000000000001</v>
      </c>
      <c r="N12" s="65">
        <v>120.6</v>
      </c>
      <c r="O12" s="65">
        <v>131.59</v>
      </c>
      <c r="P12" s="65">
        <v>162.4</v>
      </c>
      <c r="Q12" s="55">
        <v>120.34</v>
      </c>
      <c r="R12" s="65">
        <v>114.89</v>
      </c>
      <c r="S12" s="65">
        <v>112.15</v>
      </c>
      <c r="T12" s="65" t="s">
        <v>69</v>
      </c>
      <c r="U12" s="60">
        <v>120</v>
      </c>
      <c r="V12" s="65">
        <v>102.58</v>
      </c>
    </row>
    <row r="13" spans="1:27" x14ac:dyDescent="0.4">
      <c r="A13" t="s">
        <v>36</v>
      </c>
      <c r="B13" s="14"/>
      <c r="C13" s="14">
        <v>130</v>
      </c>
      <c r="D13" s="14">
        <v>125</v>
      </c>
      <c r="E13" s="14">
        <v>125</v>
      </c>
      <c r="F13" s="14">
        <v>125</v>
      </c>
      <c r="G13" s="14">
        <v>125</v>
      </c>
      <c r="H13" s="14">
        <v>125</v>
      </c>
      <c r="I13" s="14">
        <v>125</v>
      </c>
      <c r="J13" s="26">
        <v>125</v>
      </c>
      <c r="K13" s="65">
        <v>148</v>
      </c>
      <c r="L13" s="65"/>
      <c r="M13" s="65"/>
      <c r="N13" s="65"/>
      <c r="O13" s="65">
        <v>125</v>
      </c>
      <c r="P13" s="65">
        <v>125</v>
      </c>
      <c r="Q13" s="55">
        <v>125</v>
      </c>
      <c r="R13" s="65">
        <v>125</v>
      </c>
      <c r="S13" s="65">
        <v>125</v>
      </c>
      <c r="T13" s="65" t="s">
        <v>69</v>
      </c>
      <c r="U13" s="65">
        <v>125</v>
      </c>
      <c r="V13" s="65">
        <v>125</v>
      </c>
    </row>
    <row r="14" spans="1:27" x14ac:dyDescent="0.4">
      <c r="A14" t="s">
        <v>35</v>
      </c>
      <c r="B14" s="14"/>
      <c r="C14" s="14"/>
      <c r="D14" s="14"/>
      <c r="E14" s="14"/>
      <c r="F14" s="14">
        <v>50</v>
      </c>
      <c r="G14" s="14">
        <v>50</v>
      </c>
      <c r="H14" s="14">
        <v>50</v>
      </c>
      <c r="I14" s="14">
        <v>56</v>
      </c>
      <c r="J14" s="26"/>
      <c r="K14" s="65"/>
      <c r="L14" s="13"/>
      <c r="M14" s="65"/>
      <c r="N14" s="65"/>
      <c r="O14" s="65">
        <v>0</v>
      </c>
      <c r="P14" s="65"/>
      <c r="Q14" s="55"/>
      <c r="R14" s="65">
        <v>100</v>
      </c>
      <c r="S14" s="65">
        <v>50</v>
      </c>
      <c r="T14" s="65" t="s">
        <v>69</v>
      </c>
      <c r="U14" s="65"/>
      <c r="V14" s="65">
        <v>0</v>
      </c>
    </row>
    <row r="15" spans="1:27" x14ac:dyDescent="0.4">
      <c r="A15" t="s">
        <v>26</v>
      </c>
      <c r="B15" s="14"/>
      <c r="C15" s="14">
        <v>141.44</v>
      </c>
      <c r="D15" s="14">
        <v>164.3</v>
      </c>
      <c r="E15" s="14">
        <v>164.36</v>
      </c>
      <c r="F15" s="14">
        <v>164.36</v>
      </c>
      <c r="G15" s="14">
        <v>164.72</v>
      </c>
      <c r="H15" s="14">
        <v>164.73</v>
      </c>
      <c r="I15" s="14">
        <v>165.68</v>
      </c>
      <c r="J15" s="33">
        <v>165.73</v>
      </c>
      <c r="K15" s="65">
        <v>81.78</v>
      </c>
      <c r="L15" s="13">
        <v>148.13</v>
      </c>
      <c r="M15" s="13">
        <v>163.36000000000001</v>
      </c>
      <c r="N15" s="13">
        <v>183.87</v>
      </c>
      <c r="O15" s="13">
        <v>183.87</v>
      </c>
      <c r="P15" s="13">
        <v>183.68</v>
      </c>
      <c r="Q15" s="57">
        <v>183.68</v>
      </c>
      <c r="R15" s="13">
        <v>183.68</v>
      </c>
      <c r="S15" s="13">
        <v>183.77</v>
      </c>
      <c r="T15" s="65" t="s">
        <v>69</v>
      </c>
      <c r="U15" s="20">
        <v>165</v>
      </c>
      <c r="V15" s="13">
        <v>144.03</v>
      </c>
      <c r="X15" s="2"/>
      <c r="AA15" s="2"/>
    </row>
    <row r="16" spans="1:27" x14ac:dyDescent="0.4">
      <c r="A16" t="s">
        <v>27</v>
      </c>
      <c r="B16" s="14"/>
      <c r="C16" s="14">
        <v>132.56</v>
      </c>
      <c r="D16" s="14">
        <v>132.31</v>
      </c>
      <c r="E16" s="14">
        <v>139.11000000000001</v>
      </c>
      <c r="F16" s="14">
        <v>138.05000000000001</v>
      </c>
      <c r="G16" s="14">
        <v>142.30000000000001</v>
      </c>
      <c r="H16" s="14">
        <v>132.63</v>
      </c>
      <c r="I16" s="14">
        <v>102.01</v>
      </c>
      <c r="J16" s="26">
        <v>98.01</v>
      </c>
      <c r="K16" s="65">
        <v>100.66</v>
      </c>
      <c r="L16" s="13">
        <v>99.46</v>
      </c>
      <c r="M16" s="13">
        <v>100.09</v>
      </c>
      <c r="N16" s="13">
        <v>100.09</v>
      </c>
      <c r="O16" s="13">
        <v>100.09</v>
      </c>
      <c r="P16" s="13">
        <v>100.04</v>
      </c>
      <c r="Q16" s="57">
        <v>99.98</v>
      </c>
      <c r="R16" s="13">
        <v>99.98</v>
      </c>
      <c r="S16" s="13">
        <v>100</v>
      </c>
      <c r="T16" s="65" t="s">
        <v>69</v>
      </c>
      <c r="U16" s="20">
        <v>100</v>
      </c>
      <c r="V16" s="13">
        <v>142.16</v>
      </c>
      <c r="X16" s="2"/>
    </row>
    <row r="17" spans="1:26" x14ac:dyDescent="0.4">
      <c r="A17" t="s">
        <v>28</v>
      </c>
      <c r="B17" s="14"/>
      <c r="C17" s="14"/>
      <c r="D17" s="14"/>
      <c r="E17" s="14">
        <v>257.76</v>
      </c>
      <c r="F17" s="14"/>
      <c r="G17" s="14"/>
      <c r="H17" s="14">
        <v>240</v>
      </c>
      <c r="I17" s="14"/>
      <c r="J17" s="26"/>
      <c r="K17" s="65"/>
      <c r="L17" s="26"/>
      <c r="M17" s="13"/>
      <c r="N17" s="13">
        <v>92</v>
      </c>
      <c r="O17" s="13"/>
      <c r="P17" s="13"/>
      <c r="Q17" s="74">
        <v>100</v>
      </c>
      <c r="R17" s="13"/>
      <c r="S17" s="13"/>
      <c r="T17" s="13"/>
      <c r="U17" s="13"/>
      <c r="V17" s="13">
        <v>50</v>
      </c>
    </row>
    <row r="18" spans="1:26" x14ac:dyDescent="0.4">
      <c r="A18" t="s">
        <v>29</v>
      </c>
      <c r="B18" s="14"/>
      <c r="C18" s="15">
        <v>460</v>
      </c>
      <c r="D18" s="15">
        <v>460</v>
      </c>
      <c r="E18" s="15">
        <v>460</v>
      </c>
      <c r="F18" s="15">
        <v>460</v>
      </c>
      <c r="G18" s="15">
        <v>460</v>
      </c>
      <c r="H18" s="15">
        <v>460</v>
      </c>
      <c r="I18" s="15">
        <v>470</v>
      </c>
      <c r="J18" s="15">
        <v>470</v>
      </c>
      <c r="K18" s="15">
        <v>470</v>
      </c>
      <c r="L18" s="15">
        <f>470+80</f>
        <v>550</v>
      </c>
      <c r="M18" s="15">
        <v>470</v>
      </c>
      <c r="N18" s="15">
        <v>470</v>
      </c>
      <c r="O18" s="15">
        <f>485+156.59</f>
        <v>641.59</v>
      </c>
      <c r="P18" s="15">
        <v>485</v>
      </c>
      <c r="Q18" s="15">
        <f>485-78</f>
        <v>407</v>
      </c>
      <c r="R18" s="15">
        <v>485</v>
      </c>
      <c r="S18" s="15">
        <v>485</v>
      </c>
      <c r="T18" s="65" t="s">
        <v>69</v>
      </c>
      <c r="U18" s="15">
        <v>485</v>
      </c>
      <c r="V18" s="66">
        <v>460</v>
      </c>
    </row>
    <row r="19" spans="1:26" x14ac:dyDescent="0.4">
      <c r="A19" s="2"/>
      <c r="B19" s="14"/>
      <c r="C19" s="14">
        <f t="shared" ref="C19:U19" si="0">SUM(C3:C18)</f>
        <v>1354.96</v>
      </c>
      <c r="D19" s="14">
        <f t="shared" si="0"/>
        <v>1384.45</v>
      </c>
      <c r="E19" s="14">
        <f t="shared" si="0"/>
        <v>1681.8899999999999</v>
      </c>
      <c r="F19" s="14">
        <f t="shared" si="0"/>
        <v>1440.33</v>
      </c>
      <c r="G19" s="14">
        <f t="shared" si="0"/>
        <v>1422.5</v>
      </c>
      <c r="H19" s="14">
        <f t="shared" si="0"/>
        <v>1724.3000000000002</v>
      </c>
      <c r="I19" s="67">
        <f t="shared" si="0"/>
        <v>2169.34</v>
      </c>
      <c r="J19" s="67">
        <f t="shared" si="0"/>
        <v>2109.12</v>
      </c>
      <c r="K19" s="67">
        <f t="shared" si="0"/>
        <v>2043.69</v>
      </c>
      <c r="L19" s="67">
        <f t="shared" si="0"/>
        <v>2106.09</v>
      </c>
      <c r="M19" s="67">
        <f t="shared" si="0"/>
        <v>1973.09</v>
      </c>
      <c r="N19" s="67">
        <f t="shared" si="0"/>
        <v>1716.27</v>
      </c>
      <c r="O19" s="67">
        <f t="shared" si="0"/>
        <v>2323.06</v>
      </c>
      <c r="P19" s="67">
        <f t="shared" si="0"/>
        <v>2233.8000000000002</v>
      </c>
      <c r="Q19" s="67">
        <f t="shared" si="0"/>
        <v>2296.56</v>
      </c>
      <c r="R19" s="67">
        <f t="shared" si="0"/>
        <v>2255.3200000000002</v>
      </c>
      <c r="S19" s="67">
        <f t="shared" si="0"/>
        <v>2258.21</v>
      </c>
      <c r="T19" s="67"/>
      <c r="U19" s="67">
        <f t="shared" si="0"/>
        <v>2087</v>
      </c>
      <c r="V19" s="67">
        <f>SUM(V3:V18)</f>
        <v>2014.27</v>
      </c>
    </row>
    <row r="20" spans="1:26" x14ac:dyDescent="0.4">
      <c r="A20" t="s">
        <v>31</v>
      </c>
      <c r="B20" s="14"/>
      <c r="C20" s="14"/>
      <c r="D20" s="14"/>
      <c r="E20" s="14"/>
      <c r="F20" s="14"/>
      <c r="G20" s="14"/>
      <c r="H20" s="13"/>
      <c r="I20" s="14"/>
      <c r="J20" s="14"/>
      <c r="N20" s="2"/>
      <c r="O20" s="2"/>
      <c r="P20" s="2"/>
      <c r="Q20" s="2"/>
      <c r="R20" s="2"/>
      <c r="S20" s="2"/>
      <c r="T20" s="2"/>
      <c r="U20" s="2"/>
    </row>
    <row r="21" spans="1:26" x14ac:dyDescent="0.4">
      <c r="A21" t="s">
        <v>32</v>
      </c>
      <c r="B21" s="14"/>
      <c r="C21" s="14">
        <v>189</v>
      </c>
      <c r="D21" s="14">
        <v>189</v>
      </c>
      <c r="E21" s="14">
        <v>189</v>
      </c>
      <c r="F21" s="14">
        <v>120</v>
      </c>
      <c r="G21" s="14">
        <v>120</v>
      </c>
      <c r="H21" s="14">
        <v>120</v>
      </c>
      <c r="I21" s="63"/>
      <c r="J21" s="63"/>
      <c r="K21" s="46"/>
      <c r="L21" s="63">
        <v>120</v>
      </c>
      <c r="M21" s="30">
        <v>60</v>
      </c>
      <c r="N21" s="30">
        <v>60</v>
      </c>
      <c r="O21" s="30">
        <v>60</v>
      </c>
      <c r="P21" s="30">
        <v>60</v>
      </c>
      <c r="Q21" s="30"/>
      <c r="R21" s="30"/>
      <c r="S21" s="30"/>
      <c r="T21" s="30"/>
      <c r="U21" s="30"/>
    </row>
    <row r="22" spans="1:26" x14ac:dyDescent="0.4">
      <c r="A22" t="s">
        <v>33</v>
      </c>
      <c r="B22" s="14"/>
      <c r="C22" s="14">
        <v>300</v>
      </c>
      <c r="D22" s="14">
        <v>300</v>
      </c>
      <c r="E22" s="14">
        <v>300</v>
      </c>
      <c r="F22" s="14">
        <v>300</v>
      </c>
      <c r="G22" s="14">
        <v>300</v>
      </c>
      <c r="H22" s="14">
        <v>300</v>
      </c>
      <c r="I22" s="63">
        <v>300</v>
      </c>
      <c r="J22" s="63">
        <v>300</v>
      </c>
      <c r="K22" s="68">
        <v>300</v>
      </c>
      <c r="L22" s="68">
        <v>300</v>
      </c>
      <c r="M22" s="69">
        <v>300</v>
      </c>
      <c r="N22" s="69">
        <v>300</v>
      </c>
      <c r="O22" s="69">
        <v>300</v>
      </c>
      <c r="P22" s="69">
        <v>300</v>
      </c>
      <c r="Q22" s="69">
        <v>300</v>
      </c>
      <c r="R22" s="69">
        <v>300</v>
      </c>
      <c r="S22" s="69">
        <v>300</v>
      </c>
      <c r="T22" s="69"/>
      <c r="U22" s="69">
        <v>300</v>
      </c>
      <c r="V22" s="68">
        <v>350</v>
      </c>
      <c r="Y22" s="2"/>
    </row>
    <row r="23" spans="1:26" x14ac:dyDescent="0.4">
      <c r="A23" t="s">
        <v>34</v>
      </c>
      <c r="B23" s="14"/>
      <c r="C23" s="15">
        <v>120</v>
      </c>
      <c r="D23" s="15">
        <v>120</v>
      </c>
      <c r="E23" s="15">
        <v>120</v>
      </c>
      <c r="F23" s="15">
        <v>120</v>
      </c>
      <c r="G23" s="16">
        <v>120</v>
      </c>
      <c r="H23" s="16">
        <v>120</v>
      </c>
      <c r="I23" s="70">
        <v>120</v>
      </c>
      <c r="J23" s="70">
        <v>120</v>
      </c>
      <c r="K23" s="48">
        <v>120</v>
      </c>
      <c r="L23" s="48">
        <v>120</v>
      </c>
      <c r="M23" s="41">
        <v>120</v>
      </c>
      <c r="N23" s="41">
        <v>120</v>
      </c>
      <c r="O23" s="41">
        <v>120</v>
      </c>
      <c r="P23" s="41">
        <v>120</v>
      </c>
      <c r="Q23" s="41">
        <v>120</v>
      </c>
      <c r="R23" s="41">
        <v>120</v>
      </c>
      <c r="S23" s="41">
        <v>120</v>
      </c>
      <c r="T23" s="41"/>
      <c r="U23" s="41">
        <v>120</v>
      </c>
      <c r="V23" s="52">
        <v>100</v>
      </c>
      <c r="W23" t="s">
        <v>56</v>
      </c>
      <c r="X23" t="s">
        <v>57</v>
      </c>
    </row>
    <row r="24" spans="1:26" x14ac:dyDescent="0.4">
      <c r="B24" s="14"/>
      <c r="C24" s="14">
        <f t="shared" ref="C24:U24" si="1">C19+SUM(C21:C23)</f>
        <v>1963.96</v>
      </c>
      <c r="D24" s="14">
        <f t="shared" si="1"/>
        <v>1993.45</v>
      </c>
      <c r="E24" s="14">
        <f t="shared" si="1"/>
        <v>2290.89</v>
      </c>
      <c r="F24" s="14">
        <f t="shared" si="1"/>
        <v>1980.33</v>
      </c>
      <c r="G24" s="14">
        <f t="shared" si="1"/>
        <v>1962.5</v>
      </c>
      <c r="H24" s="14">
        <f t="shared" si="1"/>
        <v>2264.3000000000002</v>
      </c>
      <c r="I24" s="67">
        <f t="shared" si="1"/>
        <v>2589.34</v>
      </c>
      <c r="J24" s="67">
        <f t="shared" si="1"/>
        <v>2529.12</v>
      </c>
      <c r="K24" s="67">
        <f t="shared" si="1"/>
        <v>2463.69</v>
      </c>
      <c r="L24" s="67">
        <f t="shared" si="1"/>
        <v>2646.09</v>
      </c>
      <c r="M24" s="67">
        <f t="shared" si="1"/>
        <v>2453.09</v>
      </c>
      <c r="N24" s="67">
        <f t="shared" si="1"/>
        <v>2196.27</v>
      </c>
      <c r="O24" s="67">
        <f t="shared" si="1"/>
        <v>2803.06</v>
      </c>
      <c r="P24" s="67">
        <f t="shared" si="1"/>
        <v>2713.8</v>
      </c>
      <c r="Q24" s="67">
        <f t="shared" si="1"/>
        <v>2716.56</v>
      </c>
      <c r="R24" s="67">
        <f t="shared" si="1"/>
        <v>2675.32</v>
      </c>
      <c r="S24" s="67">
        <f t="shared" si="1"/>
        <v>2678.21</v>
      </c>
      <c r="T24" s="67"/>
      <c r="U24" s="67">
        <f t="shared" si="1"/>
        <v>2507</v>
      </c>
      <c r="V24" s="67">
        <f>V19+SUM(V21:V23)</f>
        <v>2464.27</v>
      </c>
      <c r="W24" s="54"/>
    </row>
    <row r="25" spans="1:26" x14ac:dyDescent="0.4">
      <c r="B25" s="14"/>
      <c r="C25" s="14"/>
      <c r="D25" s="14"/>
      <c r="E25" s="14"/>
      <c r="F25" s="14"/>
      <c r="G25" s="14"/>
      <c r="H25" s="14"/>
      <c r="I25" s="14"/>
      <c r="J25" s="14"/>
      <c r="K25" s="25"/>
      <c r="O25" s="51"/>
      <c r="P25" s="51"/>
      <c r="Q25" s="2"/>
      <c r="R25" s="2"/>
      <c r="S25" s="2"/>
      <c r="T25" s="2"/>
      <c r="U25" s="2"/>
      <c r="W25" s="22"/>
    </row>
    <row r="26" spans="1:26" x14ac:dyDescent="0.4">
      <c r="A26" t="s">
        <v>79</v>
      </c>
      <c r="B26" s="14"/>
      <c r="C26" s="14"/>
      <c r="D26" s="14"/>
      <c r="E26" s="14"/>
      <c r="F26" s="14"/>
      <c r="G26" s="14"/>
      <c r="H26" s="14"/>
      <c r="I26" s="14"/>
      <c r="J26" s="14"/>
      <c r="K26" s="5"/>
      <c r="L26">
        <v>3026.83</v>
      </c>
      <c r="M26">
        <v>3026.83</v>
      </c>
      <c r="N26">
        <v>3026.83</v>
      </c>
      <c r="O26">
        <v>3026.83</v>
      </c>
      <c r="P26">
        <v>3026.83</v>
      </c>
      <c r="Q26">
        <f>3026.83+78</f>
        <v>3104.83</v>
      </c>
      <c r="R26">
        <v>3026.83</v>
      </c>
      <c r="S26">
        <v>3026.83</v>
      </c>
      <c r="U26">
        <v>3026.83</v>
      </c>
      <c r="W26" s="22"/>
      <c r="Y26" s="2"/>
    </row>
    <row r="27" spans="1:26" x14ac:dyDescent="0.4">
      <c r="B27" s="14"/>
      <c r="C27" s="14"/>
      <c r="D27" s="14"/>
      <c r="E27" s="14"/>
      <c r="F27" s="14"/>
      <c r="G27" s="14"/>
      <c r="H27" s="14"/>
      <c r="I27" s="14"/>
      <c r="J27" s="14"/>
      <c r="K27" s="5"/>
      <c r="W27" s="22"/>
      <c r="Y27" s="2"/>
    </row>
    <row r="28" spans="1:26" x14ac:dyDescent="0.4">
      <c r="A28" s="2"/>
      <c r="B28" s="14"/>
      <c r="C28" s="14"/>
      <c r="D28" s="14"/>
      <c r="E28" s="14"/>
      <c r="F28" s="14"/>
      <c r="G28" s="14"/>
      <c r="H28" s="14"/>
      <c r="I28" s="14"/>
      <c r="J28" s="14"/>
      <c r="K28" s="5"/>
      <c r="L28" s="53">
        <f t="shared" ref="L28:U28" si="2">L26-L24</f>
        <v>380.73999999999978</v>
      </c>
      <c r="M28" s="53">
        <f t="shared" si="2"/>
        <v>573.73999999999978</v>
      </c>
      <c r="N28" s="53">
        <f t="shared" si="2"/>
        <v>830.56</v>
      </c>
      <c r="O28" s="53">
        <f t="shared" si="2"/>
        <v>223.76999999999998</v>
      </c>
      <c r="P28" s="53">
        <f t="shared" si="2"/>
        <v>313.02999999999975</v>
      </c>
      <c r="Q28" s="53">
        <f t="shared" si="2"/>
        <v>388.27</v>
      </c>
      <c r="R28" s="53">
        <f t="shared" si="2"/>
        <v>351.50999999999976</v>
      </c>
      <c r="S28" s="53">
        <f t="shared" si="2"/>
        <v>348.61999999999989</v>
      </c>
      <c r="T28" s="53"/>
      <c r="U28" s="53">
        <f t="shared" si="2"/>
        <v>519.82999999999993</v>
      </c>
      <c r="W28" s="22"/>
      <c r="Y28" s="2"/>
    </row>
    <row r="29" spans="1:26" x14ac:dyDescent="0.4">
      <c r="B29" s="14"/>
      <c r="C29" s="14"/>
      <c r="D29" s="14"/>
      <c r="E29" s="14"/>
      <c r="F29" s="14"/>
      <c r="G29" s="14"/>
      <c r="H29" s="14"/>
      <c r="I29" s="14"/>
      <c r="J29" s="14"/>
      <c r="K29" s="5"/>
      <c r="W29" s="22"/>
      <c r="Y29" s="2"/>
    </row>
    <row r="30" spans="1:26" x14ac:dyDescent="0.4">
      <c r="B30" s="14"/>
      <c r="C30" s="14"/>
      <c r="D30" s="14"/>
      <c r="E30" s="14"/>
      <c r="F30" s="14"/>
      <c r="G30" s="14"/>
      <c r="H30" s="14"/>
      <c r="I30" s="14"/>
      <c r="J30" s="14"/>
      <c r="K30" s="5"/>
      <c r="W30" s="22"/>
      <c r="Y30" s="2"/>
      <c r="Z30" s="2"/>
    </row>
    <row r="31" spans="1:26" x14ac:dyDescent="0.4">
      <c r="P31" s="2"/>
      <c r="U31" s="2"/>
      <c r="W31" s="30"/>
    </row>
    <row r="32" spans="1:26" x14ac:dyDescent="0.4">
      <c r="A32" s="51" t="s">
        <v>75</v>
      </c>
    </row>
    <row r="33" spans="1:24" x14ac:dyDescent="0.4">
      <c r="A33" s="51" t="s">
        <v>76</v>
      </c>
      <c r="F33" s="5"/>
      <c r="X33" s="53"/>
    </row>
    <row r="34" spans="1:24" x14ac:dyDescent="0.4">
      <c r="A34" s="51" t="s">
        <v>86</v>
      </c>
      <c r="C34" s="1"/>
      <c r="N34" s="53"/>
      <c r="O34" s="53"/>
      <c r="P34" s="53"/>
      <c r="W34" s="2"/>
      <c r="X34" s="53"/>
    </row>
    <row r="35" spans="1:24" x14ac:dyDescent="0.4">
      <c r="A35" s="2" t="s">
        <v>87</v>
      </c>
      <c r="C35" s="1"/>
      <c r="P35" s="2"/>
      <c r="X35" s="53"/>
    </row>
    <row r="36" spans="1:24" x14ac:dyDescent="0.4">
      <c r="C36" s="1"/>
      <c r="D36" s="5"/>
    </row>
    <row r="37" spans="1:24" x14ac:dyDescent="0.4">
      <c r="A37" s="2"/>
      <c r="C37" s="1"/>
      <c r="I37" s="53">
        <f t="shared" ref="I37:O37" si="3">3026-I24</f>
        <v>436.65999999999985</v>
      </c>
      <c r="J37" s="53">
        <f t="shared" si="3"/>
        <v>496.88000000000011</v>
      </c>
      <c r="K37" s="53">
        <f t="shared" si="3"/>
        <v>562.30999999999995</v>
      </c>
      <c r="L37" s="53">
        <f t="shared" si="3"/>
        <v>379.90999999999985</v>
      </c>
      <c r="M37" s="53">
        <f t="shared" si="3"/>
        <v>572.90999999999985</v>
      </c>
      <c r="N37" s="53">
        <f t="shared" si="3"/>
        <v>829.73</v>
      </c>
      <c r="O37" s="53">
        <f t="shared" si="3"/>
        <v>222.94000000000005</v>
      </c>
      <c r="P37" s="53"/>
    </row>
    <row r="38" spans="1:24" x14ac:dyDescent="0.4">
      <c r="C38" s="1"/>
    </row>
    <row r="39" spans="1:24" x14ac:dyDescent="0.4">
      <c r="C39" s="1"/>
    </row>
    <row r="40" spans="1:24" x14ac:dyDescent="0.4">
      <c r="C40" s="1"/>
    </row>
    <row r="41" spans="1:24" x14ac:dyDescent="0.4">
      <c r="C41" s="1"/>
    </row>
    <row r="42" spans="1:24" x14ac:dyDescent="0.4">
      <c r="C42" s="1"/>
    </row>
    <row r="43" spans="1:24" x14ac:dyDescent="0.4">
      <c r="C43" s="1"/>
    </row>
    <row r="44" spans="1:24" x14ac:dyDescent="0.4">
      <c r="C44" s="1"/>
    </row>
    <row r="45" spans="1:24" x14ac:dyDescent="0.4">
      <c r="C45" s="1"/>
    </row>
    <row r="46" spans="1:24" x14ac:dyDescent="0.4">
      <c r="C46" s="1"/>
    </row>
    <row r="47" spans="1:24" x14ac:dyDescent="0.4">
      <c r="C47" s="1"/>
      <c r="M47" s="30"/>
    </row>
    <row r="48" spans="1:24" x14ac:dyDescent="0.4">
      <c r="C48" s="1"/>
      <c r="M48" s="76"/>
    </row>
    <row r="49" spans="3:13" x14ac:dyDescent="0.4">
      <c r="C49" s="1"/>
      <c r="M49" s="25"/>
    </row>
    <row r="50" spans="3:13" x14ac:dyDescent="0.4">
      <c r="C50" s="1"/>
      <c r="M50" s="25"/>
    </row>
    <row r="51" spans="3:13" x14ac:dyDescent="0.4">
      <c r="C51" s="1"/>
      <c r="M51" s="22"/>
    </row>
    <row r="52" spans="3:13" x14ac:dyDescent="0.4">
      <c r="C52" s="1"/>
    </row>
    <row r="53" spans="3:13" x14ac:dyDescent="0.4">
      <c r="C53" s="1"/>
    </row>
  </sheetData>
  <phoneticPr fontId="3" type="noConversion"/>
  <pageMargins left="0.75" right="0.75" top="1" bottom="1" header="0.5" footer="0.5"/>
  <pageSetup scale="84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AMEX</vt:lpstr>
      <vt:lpstr>Post xfer 2014 </vt:lpstr>
      <vt:lpstr>monthly bills 2017</vt:lpstr>
      <vt:lpstr>monthly bills 2016</vt:lpstr>
      <vt:lpstr>monthly bills 2015</vt:lpstr>
      <vt:lpstr>2014</vt:lpstr>
      <vt:lpstr>2012+2013</vt:lpstr>
      <vt:lpstr>2011</vt:lpstr>
      <vt:lpstr>monthly bills 2014</vt:lpstr>
      <vt:lpstr>monthly bills 2013</vt:lpstr>
      <vt:lpstr>'monthly bills 2013'!Print_Area</vt:lpstr>
      <vt:lpstr>'monthly bills 2014'!Print_Area</vt:lpstr>
      <vt:lpstr>'monthly bills 2015'!Print_Area</vt:lpstr>
      <vt:lpstr>'monthly bills 2016'!Print_Area</vt:lpstr>
      <vt:lpstr>'monthly bills 2017'!Print_Area</vt:lpstr>
    </vt:vector>
  </TitlesOfParts>
  <Company>Egan-Managed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</dc:creator>
  <cp:lastModifiedBy>mwhit</cp:lastModifiedBy>
  <cp:lastPrinted>2017-12-24T16:40:45Z</cp:lastPrinted>
  <dcterms:created xsi:type="dcterms:W3CDTF">2010-04-28T17:56:03Z</dcterms:created>
  <dcterms:modified xsi:type="dcterms:W3CDTF">2017-12-24T16:41:39Z</dcterms:modified>
</cp:coreProperties>
</file>