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whit\Desktop\MW Info\"/>
    </mc:Choice>
  </mc:AlternateContent>
  <xr:revisionPtr revIDLastSave="0" documentId="13_ncr:1_{AE810244-CA0D-4979-9B7A-DB4603E313CD}" xr6:coauthVersionLast="47" xr6:coauthVersionMax="47" xr10:uidLastSave="{00000000-0000-0000-0000-000000000000}"/>
  <bookViews>
    <workbookView xWindow="-93" yWindow="-93" windowWidth="20186" windowHeight="12920" xr2:uid="{00000000-000D-0000-FFFF-FFFF00000000}"/>
  </bookViews>
  <sheets>
    <sheet name="monthly bills 2024" sheetId="20" r:id="rId1"/>
    <sheet name="monthly bills 2023" sheetId="18" r:id="rId2"/>
    <sheet name="monthly bills 2022" sheetId="17" r:id="rId3"/>
    <sheet name="monthly bills 2021 " sheetId="16" r:id="rId4"/>
    <sheet name="monthly bills 2020" sheetId="15" r:id="rId5"/>
    <sheet name="monthly bills 2019" sheetId="13" r:id="rId6"/>
    <sheet name="monthly bills 2018" sheetId="12" r:id="rId7"/>
    <sheet name="Dads rec sheet" sheetId="14" r:id="rId8"/>
    <sheet name="monthly bills 2017" sheetId="11" r:id="rId9"/>
    <sheet name="monthly bills 2016" sheetId="10" r:id="rId10"/>
    <sheet name="monthly bills 2015" sheetId="9" r:id="rId11"/>
    <sheet name="2014" sheetId="6" r:id="rId12"/>
    <sheet name="2012+2013" sheetId="4" r:id="rId13"/>
    <sheet name="2011" sheetId="1" r:id="rId14"/>
    <sheet name="monthly bills 2014" sheetId="7" r:id="rId15"/>
    <sheet name="monthly bills 2013" sheetId="3" r:id="rId16"/>
  </sheets>
  <definedNames>
    <definedName name="_xlnm.Print_Area" localSheetId="15">'monthly bills 2013'!$A$1:$T$34</definedName>
    <definedName name="_xlnm.Print_Area" localSheetId="14">'monthly bills 2014'!$A$1:$Z$38</definedName>
    <definedName name="_xlnm.Print_Area" localSheetId="10">'monthly bills 2015'!$A$1:$S$37</definedName>
    <definedName name="_xlnm.Print_Area" localSheetId="9">'monthly bills 2016'!$A$1:$S$50</definedName>
    <definedName name="_xlnm.Print_Area" localSheetId="8">'monthly bills 2017'!$A$1:$U$83</definedName>
    <definedName name="_xlnm.Print_Area" localSheetId="6">'monthly bills 2018'!$A$1:$O$73</definedName>
    <definedName name="_xlnm.Print_Area" localSheetId="5">'monthly bills 2019'!$A$1:$O$70</definedName>
    <definedName name="_xlnm.Print_Area" localSheetId="4">'monthly bills 2020'!$A$1:$O$77</definedName>
    <definedName name="_xlnm.Print_Area" localSheetId="3">'monthly bills 2021 '!$A$1:$O$78</definedName>
    <definedName name="_xlnm.Print_Area" localSheetId="2">'monthly bills 2022'!$A$1:$O$82</definedName>
    <definedName name="_xlnm.Print_Area" localSheetId="1">'monthly bills 2023'!$A$1:$O$85</definedName>
    <definedName name="_xlnm.Print_Area" localSheetId="0">'monthly bills 2024'!$A$1:$P$83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6" i="20" l="1"/>
  <c r="B11" i="20"/>
  <c r="B31" i="20"/>
  <c r="B14" i="20"/>
  <c r="P14" i="20" s="1"/>
  <c r="M5" i="18"/>
  <c r="M6" i="18"/>
  <c r="M7" i="18" s="1"/>
  <c r="L14" i="18"/>
  <c r="L34" i="18" s="1"/>
  <c r="L40" i="18" s="1"/>
  <c r="P16" i="20"/>
  <c r="P10" i="20"/>
  <c r="K34" i="18"/>
  <c r="O21" i="18"/>
  <c r="C83" i="20"/>
  <c r="P82" i="20"/>
  <c r="P81" i="20"/>
  <c r="O80" i="20"/>
  <c r="M80" i="20"/>
  <c r="L80" i="20"/>
  <c r="K80" i="20"/>
  <c r="J80" i="20"/>
  <c r="I80" i="20"/>
  <c r="H80" i="20"/>
  <c r="F80" i="20"/>
  <c r="B80" i="20"/>
  <c r="P79" i="20"/>
  <c r="P78" i="20"/>
  <c r="P77" i="20"/>
  <c r="R37" i="20"/>
  <c r="O37" i="20"/>
  <c r="M37" i="20"/>
  <c r="L37" i="20"/>
  <c r="K37" i="20"/>
  <c r="J37" i="20"/>
  <c r="I37" i="20"/>
  <c r="H37" i="20"/>
  <c r="G37" i="20"/>
  <c r="F37" i="20"/>
  <c r="D37" i="20"/>
  <c r="C37" i="20"/>
  <c r="B37" i="20"/>
  <c r="P36" i="20"/>
  <c r="P35" i="20"/>
  <c r="P34" i="20"/>
  <c r="R32" i="20"/>
  <c r="O32" i="20"/>
  <c r="O38" i="20" s="1"/>
  <c r="M32" i="20"/>
  <c r="M38" i="20" s="1"/>
  <c r="L32" i="20"/>
  <c r="L38" i="20" s="1"/>
  <c r="K32" i="20"/>
  <c r="K38" i="20" s="1"/>
  <c r="J32" i="20"/>
  <c r="J38" i="20" s="1"/>
  <c r="I32" i="20"/>
  <c r="I38" i="20" s="1"/>
  <c r="H32" i="20"/>
  <c r="H38" i="20" s="1"/>
  <c r="G32" i="20"/>
  <c r="G38" i="20" s="1"/>
  <c r="F32" i="20"/>
  <c r="F38" i="20" s="1"/>
  <c r="D32" i="20"/>
  <c r="D38" i="20" s="1"/>
  <c r="C32" i="20"/>
  <c r="C38" i="20" s="1"/>
  <c r="P31" i="20"/>
  <c r="P30" i="20"/>
  <c r="P29" i="20"/>
  <c r="P28" i="20"/>
  <c r="P27" i="20"/>
  <c r="P26" i="20"/>
  <c r="P25" i="20"/>
  <c r="P24" i="20"/>
  <c r="P22" i="20"/>
  <c r="P21" i="20"/>
  <c r="P20" i="20"/>
  <c r="P19" i="20"/>
  <c r="P17" i="20"/>
  <c r="B32" i="20"/>
  <c r="B38" i="20" s="1"/>
  <c r="P15" i="20"/>
  <c r="P13" i="20"/>
  <c r="P12" i="20"/>
  <c r="P11" i="20"/>
  <c r="R7" i="20"/>
  <c r="S32" i="20" s="1"/>
  <c r="Q7" i="20"/>
  <c r="M7" i="20"/>
  <c r="L7" i="20"/>
  <c r="I7" i="20"/>
  <c r="H7" i="20"/>
  <c r="G7" i="20"/>
  <c r="F7" i="20"/>
  <c r="D7" i="20"/>
  <c r="O7" i="20"/>
  <c r="K7" i="20"/>
  <c r="J7" i="20"/>
  <c r="C7" i="20"/>
  <c r="P5" i="20"/>
  <c r="P4" i="20"/>
  <c r="P3" i="20"/>
  <c r="J6" i="18"/>
  <c r="J7" i="18" s="1"/>
  <c r="I6" i="18"/>
  <c r="I7" i="18" s="1"/>
  <c r="D64" i="18"/>
  <c r="B63" i="18"/>
  <c r="B62" i="18"/>
  <c r="B6" i="18"/>
  <c r="B7" i="18" s="1"/>
  <c r="C6" i="18"/>
  <c r="C7" i="18" s="1"/>
  <c r="F34" i="18"/>
  <c r="B17" i="18"/>
  <c r="B34" i="18" s="1"/>
  <c r="E7" i="18"/>
  <c r="D7" i="18"/>
  <c r="C85" i="18"/>
  <c r="O84" i="18"/>
  <c r="O83" i="18"/>
  <c r="M82" i="18"/>
  <c r="L82" i="18"/>
  <c r="K82" i="18"/>
  <c r="J82" i="18"/>
  <c r="I82" i="18"/>
  <c r="H82" i="18"/>
  <c r="G82" i="18"/>
  <c r="E82" i="18"/>
  <c r="B82" i="18"/>
  <c r="O81" i="18"/>
  <c r="O80" i="18"/>
  <c r="O79" i="18"/>
  <c r="Q39" i="18"/>
  <c r="M39" i="18"/>
  <c r="L39" i="18"/>
  <c r="K39" i="18"/>
  <c r="J39" i="18"/>
  <c r="I39" i="18"/>
  <c r="H39" i="18"/>
  <c r="G39" i="18"/>
  <c r="F39" i="18"/>
  <c r="E39" i="18"/>
  <c r="D39" i="18"/>
  <c r="C39" i="18"/>
  <c r="B39" i="18"/>
  <c r="O38" i="18"/>
  <c r="O37" i="18"/>
  <c r="O36" i="18"/>
  <c r="Q34" i="18"/>
  <c r="M34" i="18"/>
  <c r="M40" i="18" s="1"/>
  <c r="J34" i="18"/>
  <c r="I34" i="18"/>
  <c r="E34" i="18"/>
  <c r="E40" i="18" s="1"/>
  <c r="D34" i="18"/>
  <c r="O33" i="18"/>
  <c r="O32" i="18"/>
  <c r="O31" i="18"/>
  <c r="O30" i="18"/>
  <c r="O29" i="18"/>
  <c r="O28" i="18"/>
  <c r="O27" i="18"/>
  <c r="O26" i="18"/>
  <c r="C34" i="18"/>
  <c r="O23" i="18"/>
  <c r="O22" i="18"/>
  <c r="O20" i="18"/>
  <c r="O18" i="18"/>
  <c r="G34" i="18"/>
  <c r="O16" i="18"/>
  <c r="O15" i="18"/>
  <c r="O14" i="18"/>
  <c r="O13" i="18"/>
  <c r="O12" i="18"/>
  <c r="O11" i="18"/>
  <c r="O10" i="18"/>
  <c r="Q7" i="18"/>
  <c r="P7" i="18"/>
  <c r="L7" i="18"/>
  <c r="K7" i="18"/>
  <c r="F7" i="18"/>
  <c r="H7" i="18"/>
  <c r="G7" i="18"/>
  <c r="O5" i="18"/>
  <c r="O4" i="18"/>
  <c r="O3" i="18"/>
  <c r="O14" i="17"/>
  <c r="M32" i="17"/>
  <c r="M38" i="17" s="1"/>
  <c r="O20" i="17"/>
  <c r="B68" i="17"/>
  <c r="O22" i="17"/>
  <c r="H6" i="17"/>
  <c r="H7" i="17" s="1"/>
  <c r="H19" i="17"/>
  <c r="H32" i="17" s="1"/>
  <c r="K7" i="17"/>
  <c r="B62" i="17"/>
  <c r="I32" i="17"/>
  <c r="G17" i="17"/>
  <c r="G32" i="17" s="1"/>
  <c r="G6" i="17"/>
  <c r="G7" i="17" s="1"/>
  <c r="O12" i="17"/>
  <c r="P7" i="17"/>
  <c r="O78" i="17"/>
  <c r="O77" i="17"/>
  <c r="O76" i="17"/>
  <c r="C23" i="17"/>
  <c r="C32" i="17" s="1"/>
  <c r="C6" i="17"/>
  <c r="C7" i="17" s="1"/>
  <c r="D58" i="16"/>
  <c r="B30" i="17"/>
  <c r="O30" i="17" s="1"/>
  <c r="B55" i="17"/>
  <c r="B57" i="17" s="1"/>
  <c r="P30" i="16"/>
  <c r="E6" i="17"/>
  <c r="B6" i="17"/>
  <c r="B7" i="17" s="1"/>
  <c r="B75" i="16"/>
  <c r="B79" i="17"/>
  <c r="O81" i="17"/>
  <c r="O80" i="17"/>
  <c r="M79" i="17"/>
  <c r="L79" i="17"/>
  <c r="K79" i="17"/>
  <c r="J79" i="17"/>
  <c r="I79" i="17"/>
  <c r="H79" i="17"/>
  <c r="G79" i="17"/>
  <c r="E79" i="17"/>
  <c r="Q37" i="17"/>
  <c r="M37" i="17"/>
  <c r="L37" i="17"/>
  <c r="K37" i="17"/>
  <c r="J37" i="17"/>
  <c r="I37" i="17"/>
  <c r="H37" i="17"/>
  <c r="G37" i="17"/>
  <c r="F37" i="17"/>
  <c r="E37" i="17"/>
  <c r="D37" i="17"/>
  <c r="C37" i="17"/>
  <c r="B37" i="17"/>
  <c r="O36" i="17"/>
  <c r="O35" i="17"/>
  <c r="O34" i="17"/>
  <c r="Q32" i="17"/>
  <c r="L32" i="17"/>
  <c r="L38" i="17" s="1"/>
  <c r="K32" i="17"/>
  <c r="K38" i="17" s="1"/>
  <c r="J32" i="17"/>
  <c r="J38" i="17" s="1"/>
  <c r="F32" i="17"/>
  <c r="O31" i="17"/>
  <c r="O29" i="17"/>
  <c r="O28" i="17"/>
  <c r="O27" i="17"/>
  <c r="O26" i="17"/>
  <c r="O25" i="17"/>
  <c r="O24" i="17"/>
  <c r="O21" i="17"/>
  <c r="O18" i="17"/>
  <c r="E32" i="17"/>
  <c r="D32" i="17"/>
  <c r="O16" i="17"/>
  <c r="O15" i="17"/>
  <c r="O13" i="17"/>
  <c r="O11" i="17"/>
  <c r="Q7" i="17"/>
  <c r="M7" i="17"/>
  <c r="L7" i="17"/>
  <c r="J7" i="17"/>
  <c r="I7" i="17"/>
  <c r="F7" i="17"/>
  <c r="D7" i="17"/>
  <c r="O5" i="17"/>
  <c r="O4" i="17"/>
  <c r="O3" i="17"/>
  <c r="O16" i="16"/>
  <c r="Q47" i="16"/>
  <c r="B66" i="16"/>
  <c r="P64" i="16"/>
  <c r="P63" i="16"/>
  <c r="Q7" i="16"/>
  <c r="E6" i="16"/>
  <c r="M75" i="16"/>
  <c r="L75" i="16"/>
  <c r="K75" i="16"/>
  <c r="J75" i="16"/>
  <c r="I75" i="16"/>
  <c r="H75" i="16"/>
  <c r="G75" i="16"/>
  <c r="F75" i="16"/>
  <c r="E75" i="16"/>
  <c r="C10" i="16"/>
  <c r="B6" i="16"/>
  <c r="I40" i="18" l="1"/>
  <c r="M39" i="20"/>
  <c r="C39" i="20"/>
  <c r="J40" i="18"/>
  <c r="D39" i="20"/>
  <c r="I39" i="20"/>
  <c r="F39" i="20"/>
  <c r="J39" i="20"/>
  <c r="P6" i="20"/>
  <c r="O39" i="20"/>
  <c r="L39" i="20"/>
  <c r="G39" i="20"/>
  <c r="K39" i="20"/>
  <c r="P80" i="20"/>
  <c r="H39" i="20"/>
  <c r="P38" i="20"/>
  <c r="P32" i="20"/>
  <c r="P37" i="20" s="1"/>
  <c r="B7" i="20"/>
  <c r="B64" i="18"/>
  <c r="C40" i="18"/>
  <c r="C41" i="18" s="1"/>
  <c r="B40" i="18"/>
  <c r="R34" i="18"/>
  <c r="O82" i="18"/>
  <c r="G40" i="18"/>
  <c r="G41" i="18" s="1"/>
  <c r="D40" i="18"/>
  <c r="D41" i="18" s="1"/>
  <c r="H34" i="18"/>
  <c r="H40" i="18" s="1"/>
  <c r="H41" i="18" s="1"/>
  <c r="O24" i="18"/>
  <c r="K40" i="18"/>
  <c r="K41" i="18" s="1"/>
  <c r="F40" i="18"/>
  <c r="F41" i="18" s="1"/>
  <c r="O17" i="18"/>
  <c r="E41" i="18"/>
  <c r="M41" i="18"/>
  <c r="I41" i="18"/>
  <c r="B41" i="18"/>
  <c r="L41" i="18"/>
  <c r="J41" i="18"/>
  <c r="O6" i="18"/>
  <c r="O7" i="18"/>
  <c r="O19" i="17"/>
  <c r="D38" i="17"/>
  <c r="D39" i="17" s="1"/>
  <c r="F38" i="17"/>
  <c r="F39" i="17" s="1"/>
  <c r="H38" i="17"/>
  <c r="H39" i="17" s="1"/>
  <c r="I38" i="17"/>
  <c r="I39" i="17" s="1"/>
  <c r="O23" i="17"/>
  <c r="G38" i="17"/>
  <c r="G39" i="17" s="1"/>
  <c r="E38" i="17"/>
  <c r="R32" i="17"/>
  <c r="C38" i="17"/>
  <c r="C39" i="17" s="1"/>
  <c r="O6" i="17"/>
  <c r="O17" i="17"/>
  <c r="K39" i="17"/>
  <c r="M39" i="17"/>
  <c r="J39" i="17"/>
  <c r="L39" i="17"/>
  <c r="E7" i="17"/>
  <c r="O10" i="17"/>
  <c r="B32" i="17"/>
  <c r="B38" i="17" s="1"/>
  <c r="P66" i="16"/>
  <c r="D72" i="16"/>
  <c r="O72" i="16" s="1"/>
  <c r="E17" i="16"/>
  <c r="D17" i="16"/>
  <c r="C17" i="16"/>
  <c r="B17" i="16"/>
  <c r="P7" i="20" l="1"/>
  <c r="B39" i="20"/>
  <c r="P39" i="20" s="1"/>
  <c r="O34" i="18"/>
  <c r="O39" i="18" s="1"/>
  <c r="O40" i="18"/>
  <c r="O41" i="18"/>
  <c r="E39" i="17"/>
  <c r="O38" i="17"/>
  <c r="D74" i="16"/>
  <c r="O74" i="16" s="1"/>
  <c r="O32" i="17"/>
  <c r="O37" i="17" s="1"/>
  <c r="B39" i="17"/>
  <c r="O7" i="17"/>
  <c r="D73" i="16"/>
  <c r="E13" i="14"/>
  <c r="E15" i="14" s="1"/>
  <c r="C13" i="14"/>
  <c r="O39" i="17" l="1"/>
  <c r="C82" i="17"/>
  <c r="O73" i="16"/>
  <c r="D75" i="16"/>
  <c r="O75" i="16" s="1"/>
  <c r="C78" i="16"/>
  <c r="O77" i="16"/>
  <c r="O76" i="16"/>
  <c r="B58" i="16"/>
  <c r="Q38" i="16"/>
  <c r="M38" i="16"/>
  <c r="L38" i="16"/>
  <c r="K38" i="16"/>
  <c r="J38" i="16"/>
  <c r="I38" i="16"/>
  <c r="H38" i="16"/>
  <c r="G38" i="16"/>
  <c r="F38" i="16"/>
  <c r="E38" i="16"/>
  <c r="D38" i="16"/>
  <c r="C38" i="16"/>
  <c r="B38" i="16"/>
  <c r="O37" i="16"/>
  <c r="O36" i="16"/>
  <c r="O35" i="16"/>
  <c r="Q33" i="16"/>
  <c r="R33" i="16" s="1"/>
  <c r="M33" i="16"/>
  <c r="M39" i="16" s="1"/>
  <c r="L33" i="16"/>
  <c r="L39" i="16" s="1"/>
  <c r="K33" i="16"/>
  <c r="K39" i="16" s="1"/>
  <c r="J33" i="16"/>
  <c r="J39" i="16" s="1"/>
  <c r="I33" i="16"/>
  <c r="I39" i="16" s="1"/>
  <c r="H33" i="16"/>
  <c r="H39" i="16" s="1"/>
  <c r="G33" i="16"/>
  <c r="G39" i="16" s="1"/>
  <c r="F33" i="16"/>
  <c r="F39" i="16" s="1"/>
  <c r="E33" i="16"/>
  <c r="E39" i="16" s="1"/>
  <c r="D33" i="16"/>
  <c r="D39" i="16" s="1"/>
  <c r="C33" i="16"/>
  <c r="C39" i="16" s="1"/>
  <c r="B33" i="16"/>
  <c r="B39" i="16" s="1"/>
  <c r="O32" i="16"/>
  <c r="O31" i="16"/>
  <c r="O30" i="16"/>
  <c r="O29" i="16"/>
  <c r="O28" i="16"/>
  <c r="O27" i="16"/>
  <c r="O26" i="16"/>
  <c r="O25" i="16"/>
  <c r="O23" i="16"/>
  <c r="O22" i="16"/>
  <c r="O21" i="16"/>
  <c r="O20" i="16"/>
  <c r="O19" i="16"/>
  <c r="O18" i="16"/>
  <c r="O17" i="16"/>
  <c r="O15" i="16"/>
  <c r="O14" i="16"/>
  <c r="O13" i="16"/>
  <c r="O12" i="16"/>
  <c r="O11" i="16"/>
  <c r="O10" i="16"/>
  <c r="P7" i="16"/>
  <c r="M7" i="16"/>
  <c r="L7" i="16"/>
  <c r="K7" i="16"/>
  <c r="J7" i="16"/>
  <c r="I7" i="16"/>
  <c r="H7" i="16"/>
  <c r="G7" i="16"/>
  <c r="F7" i="16"/>
  <c r="D7" i="16"/>
  <c r="C7" i="16"/>
  <c r="B7" i="16"/>
  <c r="E7" i="16"/>
  <c r="O5" i="16"/>
  <c r="O4" i="16"/>
  <c r="O3" i="16"/>
  <c r="O79" i="17" l="1"/>
  <c r="D40" i="16"/>
  <c r="M40" i="16"/>
  <c r="J40" i="16"/>
  <c r="F40" i="16"/>
  <c r="I40" i="16"/>
  <c r="E40" i="16"/>
  <c r="B40" i="16"/>
  <c r="O33" i="16"/>
  <c r="O38" i="16" s="1"/>
  <c r="G40" i="16"/>
  <c r="K40" i="16"/>
  <c r="C40" i="16"/>
  <c r="H40" i="16"/>
  <c r="L40" i="16"/>
  <c r="O39" i="16"/>
  <c r="O6" i="16"/>
  <c r="O7" i="16"/>
  <c r="E6" i="15"/>
  <c r="O40" i="16" l="1"/>
  <c r="O13" i="15"/>
  <c r="O14" i="15" l="1"/>
  <c r="O15" i="15"/>
  <c r="B57" i="15" l="1"/>
  <c r="B6" i="15" l="1"/>
  <c r="C7" i="15"/>
  <c r="M15" i="13" l="1"/>
  <c r="K15" i="13"/>
  <c r="O22" i="15" l="1"/>
  <c r="M77" i="15" l="1"/>
  <c r="L77" i="15"/>
  <c r="K77" i="15"/>
  <c r="J77" i="15"/>
  <c r="I77" i="15"/>
  <c r="H77" i="15"/>
  <c r="G77" i="15"/>
  <c r="F77" i="15"/>
  <c r="C77" i="15"/>
  <c r="O76" i="15"/>
  <c r="O75" i="15"/>
  <c r="O74" i="15"/>
  <c r="O73" i="15"/>
  <c r="O71" i="15"/>
  <c r="Q37" i="15"/>
  <c r="M37" i="15"/>
  <c r="L37" i="15"/>
  <c r="K37" i="15"/>
  <c r="J37" i="15"/>
  <c r="I37" i="15"/>
  <c r="H37" i="15"/>
  <c r="G37" i="15"/>
  <c r="F37" i="15"/>
  <c r="E37" i="15"/>
  <c r="D37" i="15"/>
  <c r="C37" i="15"/>
  <c r="B37" i="15"/>
  <c r="O36" i="15"/>
  <c r="O35" i="15"/>
  <c r="O34" i="15"/>
  <c r="Q32" i="15"/>
  <c r="G32" i="15"/>
  <c r="F32" i="15"/>
  <c r="E32" i="15"/>
  <c r="D32" i="15"/>
  <c r="B32" i="15"/>
  <c r="O31" i="15"/>
  <c r="C32" i="15"/>
  <c r="C38" i="15" s="1"/>
  <c r="O29" i="15"/>
  <c r="O28" i="15"/>
  <c r="O27" i="15"/>
  <c r="O26" i="15"/>
  <c r="O25" i="15"/>
  <c r="O24" i="15"/>
  <c r="O21" i="15"/>
  <c r="O20" i="15"/>
  <c r="O19" i="15"/>
  <c r="O18" i="15"/>
  <c r="O17" i="15"/>
  <c r="O16" i="15"/>
  <c r="M32" i="15"/>
  <c r="K32" i="15"/>
  <c r="O12" i="15"/>
  <c r="O11" i="15"/>
  <c r="L32" i="15"/>
  <c r="J32" i="15"/>
  <c r="I32" i="15"/>
  <c r="O10" i="15"/>
  <c r="M7" i="15"/>
  <c r="L7" i="15"/>
  <c r="J7" i="15"/>
  <c r="I7" i="15"/>
  <c r="G7" i="15"/>
  <c r="F7" i="15"/>
  <c r="E7" i="15"/>
  <c r="D7" i="15"/>
  <c r="K7" i="15"/>
  <c r="H7" i="15"/>
  <c r="B7" i="15"/>
  <c r="O5" i="15"/>
  <c r="O4" i="15"/>
  <c r="O3" i="15"/>
  <c r="B38" i="15" l="1"/>
  <c r="G38" i="15"/>
  <c r="R32" i="15"/>
  <c r="M38" i="15"/>
  <c r="M39" i="15" s="1"/>
  <c r="K38" i="15"/>
  <c r="K39" i="15" s="1"/>
  <c r="J38" i="15"/>
  <c r="J39" i="15" s="1"/>
  <c r="F38" i="15"/>
  <c r="F39" i="15" s="1"/>
  <c r="D38" i="15"/>
  <c r="D39" i="15" s="1"/>
  <c r="B77" i="15"/>
  <c r="I38" i="15"/>
  <c r="I39" i="15" s="1"/>
  <c r="E38" i="15"/>
  <c r="E39" i="15" s="1"/>
  <c r="C39" i="15"/>
  <c r="O30" i="15"/>
  <c r="H32" i="15"/>
  <c r="H38" i="15" s="1"/>
  <c r="L38" i="15"/>
  <c r="L39" i="15" s="1"/>
  <c r="G39" i="15"/>
  <c r="O77" i="15"/>
  <c r="B39" i="15"/>
  <c r="O7" i="15"/>
  <c r="O6" i="15"/>
  <c r="K7" i="13"/>
  <c r="O32" i="15" l="1"/>
  <c r="O37" i="15" s="1"/>
  <c r="O38" i="15"/>
  <c r="H39" i="15"/>
  <c r="O39" i="15" s="1"/>
  <c r="B60" i="13"/>
  <c r="H7" i="13" l="1"/>
  <c r="J11" i="13" l="1"/>
  <c r="I11" i="13"/>
  <c r="H11" i="13"/>
  <c r="O64" i="13" l="1"/>
  <c r="B69" i="13"/>
  <c r="O69" i="13" s="1"/>
  <c r="B55" i="13" l="1"/>
  <c r="C31" i="13" l="1"/>
  <c r="O21" i="13" l="1"/>
  <c r="B70" i="13" l="1"/>
  <c r="B33" i="13"/>
  <c r="B31" i="12" l="1"/>
  <c r="P17" i="12" l="1"/>
  <c r="O5" i="13" l="1"/>
  <c r="O46" i="12"/>
  <c r="O50" i="12"/>
  <c r="O48" i="12"/>
  <c r="O47" i="12"/>
  <c r="O51" i="12" l="1"/>
  <c r="O19" i="12"/>
  <c r="O4" i="12"/>
  <c r="O24" i="12"/>
  <c r="O21" i="12"/>
  <c r="O22" i="12"/>
  <c r="O18" i="12"/>
  <c r="O6" i="12"/>
  <c r="B60" i="12" l="1"/>
  <c r="P33" i="12" l="1"/>
  <c r="L38" i="12" l="1"/>
  <c r="M70" i="13" l="1"/>
  <c r="L70" i="13"/>
  <c r="K70" i="13"/>
  <c r="J70" i="13"/>
  <c r="I70" i="13"/>
  <c r="H70" i="13"/>
  <c r="G70" i="13"/>
  <c r="F70" i="13"/>
  <c r="O68" i="13"/>
  <c r="O66" i="13"/>
  <c r="Q38" i="13"/>
  <c r="M38" i="13"/>
  <c r="L38" i="13"/>
  <c r="K38" i="13"/>
  <c r="J38" i="13"/>
  <c r="I38" i="13"/>
  <c r="H38" i="13"/>
  <c r="G38" i="13"/>
  <c r="F38" i="13"/>
  <c r="E38" i="13"/>
  <c r="D38" i="13"/>
  <c r="C38" i="13"/>
  <c r="B38" i="13"/>
  <c r="O37" i="13"/>
  <c r="O36" i="13"/>
  <c r="O35" i="13"/>
  <c r="M33" i="13"/>
  <c r="L33" i="13"/>
  <c r="K33" i="13"/>
  <c r="J33" i="13"/>
  <c r="I33" i="13"/>
  <c r="G33" i="13"/>
  <c r="F33" i="13"/>
  <c r="E33" i="13"/>
  <c r="D33" i="13"/>
  <c r="C33" i="13"/>
  <c r="B7" i="13" s="1"/>
  <c r="B8" i="13" s="1"/>
  <c r="H33" i="13"/>
  <c r="O31" i="13"/>
  <c r="O30" i="13"/>
  <c r="O29" i="13"/>
  <c r="O28" i="13"/>
  <c r="O27" i="13"/>
  <c r="O26" i="13"/>
  <c r="O25" i="13"/>
  <c r="O24" i="13"/>
  <c r="O22" i="13"/>
  <c r="O20" i="13"/>
  <c r="O19" i="13"/>
  <c r="O18" i="13"/>
  <c r="O17" i="13"/>
  <c r="O16" i="13"/>
  <c r="O15" i="13"/>
  <c r="O14" i="13"/>
  <c r="O13" i="13"/>
  <c r="O12" i="13"/>
  <c r="O11" i="13"/>
  <c r="Q8" i="13"/>
  <c r="P8" i="13"/>
  <c r="M8" i="13"/>
  <c r="L8" i="13"/>
  <c r="K8" i="13"/>
  <c r="J8" i="13"/>
  <c r="I8" i="13"/>
  <c r="H8" i="13"/>
  <c r="G8" i="13"/>
  <c r="F8" i="13"/>
  <c r="E8" i="13"/>
  <c r="D8" i="13"/>
  <c r="C8" i="13"/>
  <c r="O6" i="13"/>
  <c r="O4" i="13"/>
  <c r="O3" i="13"/>
  <c r="J39" i="13" l="1"/>
  <c r="J40" i="13" s="1"/>
  <c r="L39" i="13"/>
  <c r="L40" i="13" s="1"/>
  <c r="C70" i="13"/>
  <c r="I39" i="13"/>
  <c r="I40" i="13" s="1"/>
  <c r="M39" i="13"/>
  <c r="M40" i="13" s="1"/>
  <c r="K39" i="13"/>
  <c r="K40" i="13" s="1"/>
  <c r="O7" i="13"/>
  <c r="Q33" i="13"/>
  <c r="R33" i="13" s="1"/>
  <c r="C39" i="13"/>
  <c r="C40" i="13" s="1"/>
  <c r="G39" i="13"/>
  <c r="G40" i="13" s="1"/>
  <c r="B39" i="13"/>
  <c r="B40" i="13" s="1"/>
  <c r="F39" i="13"/>
  <c r="F40" i="13" s="1"/>
  <c r="E39" i="13"/>
  <c r="E40" i="13" s="1"/>
  <c r="H39" i="13"/>
  <c r="D39" i="13"/>
  <c r="D40" i="13" s="1"/>
  <c r="O32" i="13"/>
  <c r="O33" i="13" s="1"/>
  <c r="O38" i="13" s="1"/>
  <c r="O8" i="13"/>
  <c r="Q8" i="12"/>
  <c r="Q38" i="12"/>
  <c r="H40" i="13" l="1"/>
  <c r="O67" i="13"/>
  <c r="O70" i="13" s="1"/>
  <c r="R33" i="12"/>
  <c r="O39" i="13"/>
  <c r="O40" i="13"/>
  <c r="P8" i="12"/>
  <c r="O15" i="12" l="1"/>
  <c r="L8" i="12" l="1"/>
  <c r="L33" i="12"/>
  <c r="L73" i="12"/>
  <c r="L39" i="12" l="1"/>
  <c r="L40" i="12" s="1"/>
  <c r="N73" i="12" l="1"/>
  <c r="M73" i="12"/>
  <c r="K73" i="12"/>
  <c r="J73" i="12"/>
  <c r="I73" i="12"/>
  <c r="H73" i="12"/>
  <c r="G73" i="12"/>
  <c r="B73" i="12"/>
  <c r="D70" i="12" l="1"/>
  <c r="O70" i="12" s="1"/>
  <c r="D69" i="12"/>
  <c r="O69" i="12" s="1"/>
  <c r="D68" i="12"/>
  <c r="O68" i="12" s="1"/>
  <c r="D71" i="12"/>
  <c r="O71" i="12" s="1"/>
  <c r="O73" i="12" l="1"/>
  <c r="O14" i="12"/>
  <c r="O12" i="12" l="1"/>
  <c r="N38" i="12" l="1"/>
  <c r="M38" i="12"/>
  <c r="K38" i="12"/>
  <c r="J38" i="12"/>
  <c r="I38" i="12"/>
  <c r="H38" i="12"/>
  <c r="G38" i="12"/>
  <c r="F38" i="12"/>
  <c r="E38" i="12"/>
  <c r="D38" i="12"/>
  <c r="B38" i="12"/>
  <c r="O37" i="12"/>
  <c r="O36" i="12"/>
  <c r="O35" i="12"/>
  <c r="N33" i="12"/>
  <c r="N39" i="12" s="1"/>
  <c r="M33" i="12"/>
  <c r="K33" i="12"/>
  <c r="J33" i="12"/>
  <c r="I33" i="12"/>
  <c r="H33" i="12"/>
  <c r="G33" i="12"/>
  <c r="F33" i="12"/>
  <c r="E33" i="12"/>
  <c r="D33" i="12"/>
  <c r="O32" i="12"/>
  <c r="O31" i="12"/>
  <c r="O30" i="12"/>
  <c r="O29" i="12"/>
  <c r="O28" i="12"/>
  <c r="O27" i="12"/>
  <c r="O26" i="12"/>
  <c r="O25" i="12"/>
  <c r="O20" i="12"/>
  <c r="O17" i="12"/>
  <c r="O16" i="12"/>
  <c r="O13" i="12"/>
  <c r="O11" i="12"/>
  <c r="N8" i="12"/>
  <c r="M8" i="12"/>
  <c r="K8" i="12"/>
  <c r="J8" i="12"/>
  <c r="I8" i="12"/>
  <c r="H8" i="12"/>
  <c r="G8" i="12"/>
  <c r="F8" i="12"/>
  <c r="E8" i="12"/>
  <c r="D8" i="12"/>
  <c r="B8" i="12"/>
  <c r="O5" i="12"/>
  <c r="O3" i="12"/>
  <c r="F39" i="12" l="1"/>
  <c r="F40" i="12" s="1"/>
  <c r="J39" i="12"/>
  <c r="J40" i="12" s="1"/>
  <c r="I39" i="12"/>
  <c r="I40" i="12" s="1"/>
  <c r="M39" i="12"/>
  <c r="M40" i="12" s="1"/>
  <c r="H39" i="12"/>
  <c r="H40" i="12" s="1"/>
  <c r="E39" i="12"/>
  <c r="E40" i="12" s="1"/>
  <c r="D39" i="12"/>
  <c r="D40" i="12" s="1"/>
  <c r="G39" i="12"/>
  <c r="G40" i="12" s="1"/>
  <c r="K39" i="12"/>
  <c r="K40" i="12" s="1"/>
  <c r="B33" i="12"/>
  <c r="N40" i="12"/>
  <c r="O33" i="12"/>
  <c r="O38" i="12" s="1"/>
  <c r="O8" i="12"/>
  <c r="O7" i="12"/>
  <c r="E8" i="11"/>
  <c r="E33" i="11"/>
  <c r="E38" i="11"/>
  <c r="C7" i="11"/>
  <c r="B39" i="12" l="1"/>
  <c r="B40" i="12" s="1"/>
  <c r="O40" i="12" s="1"/>
  <c r="E40" i="11"/>
  <c r="E42" i="11" s="1"/>
  <c r="B7" i="11"/>
  <c r="B8" i="11" s="1"/>
  <c r="B21" i="11"/>
  <c r="B31" i="11"/>
  <c r="B57" i="11"/>
  <c r="B62" i="11"/>
  <c r="B55" i="11"/>
  <c r="L33" i="11"/>
  <c r="P32" i="11"/>
  <c r="B53" i="11"/>
  <c r="O8" i="11"/>
  <c r="N8" i="11"/>
  <c r="L8" i="11"/>
  <c r="K8" i="11"/>
  <c r="I8" i="11"/>
  <c r="H8" i="11"/>
  <c r="G8" i="11"/>
  <c r="F8" i="11"/>
  <c r="D8" i="11"/>
  <c r="C8" i="11"/>
  <c r="P17" i="11"/>
  <c r="P14" i="11"/>
  <c r="P28" i="11"/>
  <c r="O33" i="11"/>
  <c r="O38" i="11"/>
  <c r="N33" i="11"/>
  <c r="N38" i="11"/>
  <c r="L38" i="11"/>
  <c r="K33" i="11"/>
  <c r="K38" i="11"/>
  <c r="I33" i="11"/>
  <c r="I38" i="11"/>
  <c r="H33" i="11"/>
  <c r="H38" i="11"/>
  <c r="G33" i="11"/>
  <c r="G38" i="11"/>
  <c r="F33" i="11"/>
  <c r="F38" i="11"/>
  <c r="D33" i="11"/>
  <c r="D38" i="11"/>
  <c r="C33" i="11"/>
  <c r="C38" i="11"/>
  <c r="B38" i="11"/>
  <c r="P6" i="11"/>
  <c r="P5" i="11"/>
  <c r="P4" i="11"/>
  <c r="M28" i="10"/>
  <c r="O15" i="10"/>
  <c r="P11" i="11"/>
  <c r="P12" i="11"/>
  <c r="P15" i="11"/>
  <c r="P16" i="11"/>
  <c r="P18" i="11"/>
  <c r="P19" i="11"/>
  <c r="P20" i="11"/>
  <c r="P22" i="11"/>
  <c r="P24" i="11"/>
  <c r="P25" i="11"/>
  <c r="P26" i="11"/>
  <c r="P27" i="11"/>
  <c r="P29" i="11"/>
  <c r="P30" i="11"/>
  <c r="P35" i="11"/>
  <c r="P36" i="11"/>
  <c r="P37" i="11"/>
  <c r="L28" i="10"/>
  <c r="K28" i="10"/>
  <c r="B47" i="10"/>
  <c r="B42" i="10"/>
  <c r="B28" i="10"/>
  <c r="B6" i="10"/>
  <c r="B21" i="10" s="1"/>
  <c r="B26" i="10" s="1"/>
  <c r="B30" i="10" s="1"/>
  <c r="B19" i="10"/>
  <c r="M25" i="9"/>
  <c r="L25" i="9"/>
  <c r="K25" i="9"/>
  <c r="J25" i="9"/>
  <c r="O16" i="10"/>
  <c r="J18" i="9"/>
  <c r="J23" i="9"/>
  <c r="J27" i="9" s="1"/>
  <c r="K18" i="9"/>
  <c r="K23" i="9" s="1"/>
  <c r="L18" i="9"/>
  <c r="L23" i="9"/>
  <c r="L27" i="9" s="1"/>
  <c r="M18" i="9"/>
  <c r="M23" i="9" s="1"/>
  <c r="M27" i="9" s="1"/>
  <c r="B18" i="9"/>
  <c r="B23" i="9" s="1"/>
  <c r="C18" i="9"/>
  <c r="C23" i="9" s="1"/>
  <c r="D18" i="9"/>
  <c r="D23" i="9" s="1"/>
  <c r="E18" i="9"/>
  <c r="E23" i="9" s="1"/>
  <c r="F25" i="9"/>
  <c r="F18" i="9"/>
  <c r="F23" i="9" s="1"/>
  <c r="G25" i="9"/>
  <c r="G18" i="9"/>
  <c r="G23" i="9" s="1"/>
  <c r="H25" i="9"/>
  <c r="H18" i="9"/>
  <c r="H23" i="9" s="1"/>
  <c r="I25" i="9"/>
  <c r="I18" i="9"/>
  <c r="I23" i="9" s="1"/>
  <c r="O22" i="9"/>
  <c r="O21" i="9"/>
  <c r="O20" i="9"/>
  <c r="O17" i="9"/>
  <c r="O16" i="9"/>
  <c r="O15" i="9"/>
  <c r="O14" i="9"/>
  <c r="O13" i="9"/>
  <c r="O12" i="9"/>
  <c r="O11" i="9"/>
  <c r="O10" i="9"/>
  <c r="O9" i="9"/>
  <c r="O8" i="9"/>
  <c r="O6" i="9"/>
  <c r="O7" i="9"/>
  <c r="O5" i="9"/>
  <c r="O4" i="9"/>
  <c r="O3" i="9"/>
  <c r="C28" i="10"/>
  <c r="C21" i="10"/>
  <c r="C26" i="10" s="1"/>
  <c r="D28" i="10"/>
  <c r="D21" i="10"/>
  <c r="D26" i="10" s="1"/>
  <c r="E28" i="10"/>
  <c r="E21" i="10"/>
  <c r="E26" i="10" s="1"/>
  <c r="F28" i="10"/>
  <c r="F21" i="10"/>
  <c r="F26" i="10" s="1"/>
  <c r="G28" i="10"/>
  <c r="G21" i="10"/>
  <c r="G26" i="10" s="1"/>
  <c r="H28" i="10"/>
  <c r="H21" i="10"/>
  <c r="H26" i="10" s="1"/>
  <c r="I28" i="10"/>
  <c r="I21" i="10"/>
  <c r="I26" i="10" s="1"/>
  <c r="J28" i="10"/>
  <c r="J21" i="10"/>
  <c r="J26" i="10" s="1"/>
  <c r="K21" i="10"/>
  <c r="K26" i="10" s="1"/>
  <c r="L21" i="10"/>
  <c r="L26" i="10" s="1"/>
  <c r="M21" i="10"/>
  <c r="M26" i="10" s="1"/>
  <c r="O25" i="10"/>
  <c r="O24" i="10"/>
  <c r="O23" i="10"/>
  <c r="O20" i="10"/>
  <c r="O19" i="10"/>
  <c r="O18" i="10"/>
  <c r="O17" i="10"/>
  <c r="O14" i="10"/>
  <c r="O13" i="10"/>
  <c r="O12" i="10"/>
  <c r="O11" i="10"/>
  <c r="O10" i="10"/>
  <c r="O9" i="10"/>
  <c r="O8" i="10"/>
  <c r="O7" i="10"/>
  <c r="O5" i="10"/>
  <c r="O4" i="10"/>
  <c r="O3" i="10"/>
  <c r="Q18" i="7"/>
  <c r="Q19" i="7" s="1"/>
  <c r="Q24" i="7" s="1"/>
  <c r="Q26" i="7"/>
  <c r="P6" i="7"/>
  <c r="O18" i="7"/>
  <c r="O19" i="7" s="1"/>
  <c r="O24" i="7" s="1"/>
  <c r="F2" i="6"/>
  <c r="F4" i="6" s="1"/>
  <c r="B14" i="6" s="1"/>
  <c r="B4" i="6"/>
  <c r="C9" i="6"/>
  <c r="E4" i="6"/>
  <c r="B13" i="6" s="1"/>
  <c r="C13" i="6" s="1"/>
  <c r="G4" i="6"/>
  <c r="B15" i="6" s="1"/>
  <c r="H4" i="6"/>
  <c r="I4" i="6"/>
  <c r="B17" i="6" s="1"/>
  <c r="J4" i="6"/>
  <c r="B16" i="6" s="1"/>
  <c r="K4" i="6"/>
  <c r="B19" i="6" s="1"/>
  <c r="L4" i="6"/>
  <c r="L18" i="7"/>
  <c r="L19" i="7" s="1"/>
  <c r="L24" i="7" s="1"/>
  <c r="U19" i="7"/>
  <c r="U24" i="7" s="1"/>
  <c r="U28" i="7" s="1"/>
  <c r="S19" i="7"/>
  <c r="S24" i="7" s="1"/>
  <c r="S28" i="7" s="1"/>
  <c r="R19" i="7"/>
  <c r="R24" i="7" s="1"/>
  <c r="R28" i="7" s="1"/>
  <c r="P19" i="7"/>
  <c r="P24" i="7" s="1"/>
  <c r="P28" i="7" s="1"/>
  <c r="N19" i="7"/>
  <c r="N24" i="7" s="1"/>
  <c r="M19" i="7"/>
  <c r="M24" i="7" s="1"/>
  <c r="N3" i="6"/>
  <c r="K19" i="7"/>
  <c r="K24" i="7"/>
  <c r="K37" i="7" s="1"/>
  <c r="J19" i="7"/>
  <c r="J24" i="7" s="1"/>
  <c r="J37" i="7" s="1"/>
  <c r="I19" i="7"/>
  <c r="I24" i="7" s="1"/>
  <c r="I37" i="7" s="1"/>
  <c r="C19" i="7"/>
  <c r="C24" i="7" s="1"/>
  <c r="D19" i="7"/>
  <c r="D24" i="7" s="1"/>
  <c r="E19" i="7"/>
  <c r="E24" i="7" s="1"/>
  <c r="F19" i="7"/>
  <c r="F24" i="7" s="1"/>
  <c r="G19" i="7"/>
  <c r="G24" i="7" s="1"/>
  <c r="H19" i="7"/>
  <c r="H24" i="7" s="1"/>
  <c r="V19" i="7"/>
  <c r="V24" i="7" s="1"/>
  <c r="X32" i="3"/>
  <c r="F2" i="4"/>
  <c r="H2" i="4" s="1"/>
  <c r="G6" i="4"/>
  <c r="E6" i="4"/>
  <c r="B13" i="4" s="1"/>
  <c r="B6" i="4"/>
  <c r="C11" i="4" s="1"/>
  <c r="C12" i="4" s="1"/>
  <c r="T22" i="3"/>
  <c r="T27" i="3" s="1"/>
  <c r="X33" i="3" s="1"/>
  <c r="S22" i="3"/>
  <c r="S27" i="3" s="1"/>
  <c r="F3" i="4"/>
  <c r="H3" i="4" s="1"/>
  <c r="F4" i="4"/>
  <c r="H4" i="4" s="1"/>
  <c r="F5" i="4"/>
  <c r="H5" i="4" s="1"/>
  <c r="R22" i="3"/>
  <c r="R27" i="3" s="1"/>
  <c r="Q22" i="3"/>
  <c r="Q27" i="3" s="1"/>
  <c r="P22" i="3"/>
  <c r="P27" i="3" s="1"/>
  <c r="O22" i="3"/>
  <c r="O27" i="3" s="1"/>
  <c r="N22" i="3"/>
  <c r="N27" i="3" s="1"/>
  <c r="V22" i="3"/>
  <c r="V27" i="3" s="1"/>
  <c r="M22" i="3"/>
  <c r="M27" i="3" s="1"/>
  <c r="L22" i="3"/>
  <c r="L27" i="3" s="1"/>
  <c r="K22" i="3"/>
  <c r="K27" i="3" s="1"/>
  <c r="J22" i="3"/>
  <c r="J27" i="3" s="1"/>
  <c r="I3" i="3"/>
  <c r="I22" i="3" s="1"/>
  <c r="I27" i="3" s="1"/>
  <c r="H22" i="3"/>
  <c r="H27" i="3" s="1"/>
  <c r="G22" i="3"/>
  <c r="G27" i="3" s="1"/>
  <c r="F22" i="3"/>
  <c r="F27" i="3" s="1"/>
  <c r="E5" i="3"/>
  <c r="E22" i="3" s="1"/>
  <c r="E27" i="3" s="1"/>
  <c r="D22" i="3"/>
  <c r="D27" i="3" s="1"/>
  <c r="C22" i="3"/>
  <c r="C27" i="3"/>
  <c r="F4" i="1"/>
  <c r="F7" i="1" s="1"/>
  <c r="B15" i="1" s="1"/>
  <c r="B7" i="1"/>
  <c r="C12" i="1" s="1"/>
  <c r="C13" i="1" s="1"/>
  <c r="G5" i="1"/>
  <c r="E7" i="1"/>
  <c r="B14" i="1" s="1"/>
  <c r="C14" i="6" l="1"/>
  <c r="C13" i="4"/>
  <c r="J30" i="10"/>
  <c r="H30" i="10"/>
  <c r="F30" i="10"/>
  <c r="D30" i="10"/>
  <c r="G4" i="1"/>
  <c r="O25" i="9"/>
  <c r="B27" i="9"/>
  <c r="B36" i="9"/>
  <c r="K30" i="10"/>
  <c r="M30" i="10"/>
  <c r="O18" i="9"/>
  <c r="O23" i="9" s="1"/>
  <c r="B18" i="6"/>
  <c r="L30" i="10"/>
  <c r="G7" i="1"/>
  <c r="N2" i="6"/>
  <c r="N4" i="6" s="1"/>
  <c r="I30" i="10"/>
  <c r="G30" i="10"/>
  <c r="E30" i="10"/>
  <c r="C30" i="10"/>
  <c r="I27" i="9"/>
  <c r="K27" i="9"/>
  <c r="X34" i="3"/>
  <c r="D27" i="9"/>
  <c r="D36" i="9"/>
  <c r="C14" i="1"/>
  <c r="C15" i="1" s="1"/>
  <c r="M37" i="7"/>
  <c r="M28" i="7"/>
  <c r="H27" i="9"/>
  <c r="H36" i="9"/>
  <c r="F27" i="9"/>
  <c r="F36" i="9"/>
  <c r="C27" i="9"/>
  <c r="C36" i="9"/>
  <c r="N28" i="7"/>
  <c r="N37" i="7"/>
  <c r="L28" i="7"/>
  <c r="L37" i="7"/>
  <c r="H6" i="4"/>
  <c r="O28" i="7"/>
  <c r="O37" i="7"/>
  <c r="C15" i="6"/>
  <c r="C16" i="6" s="1"/>
  <c r="C17" i="6" s="1"/>
  <c r="Q28" i="7"/>
  <c r="G27" i="9"/>
  <c r="G36" i="9"/>
  <c r="E27" i="9"/>
  <c r="E36" i="9"/>
  <c r="O6" i="10"/>
  <c r="O21" i="10" s="1"/>
  <c r="O26" i="10" s="1"/>
  <c r="B14" i="4"/>
  <c r="C14" i="4" s="1"/>
  <c r="O28" i="10"/>
  <c r="F6" i="4"/>
  <c r="O39" i="12"/>
  <c r="C40" i="11"/>
  <c r="C42" i="11" s="1"/>
  <c r="P7" i="11"/>
  <c r="O40" i="11"/>
  <c r="O42" i="11" s="1"/>
  <c r="B63" i="11"/>
  <c r="N40" i="11"/>
  <c r="N42" i="11" s="1"/>
  <c r="B33" i="11"/>
  <c r="B40" i="11" s="1"/>
  <c r="B42" i="11" s="1"/>
  <c r="I40" i="11"/>
  <c r="I42" i="11" s="1"/>
  <c r="G40" i="11"/>
  <c r="G42" i="11" s="1"/>
  <c r="L40" i="11"/>
  <c r="L42" i="11" s="1"/>
  <c r="F40" i="11"/>
  <c r="F42" i="11" s="1"/>
  <c r="H40" i="11"/>
  <c r="H42" i="11" s="1"/>
  <c r="K40" i="11"/>
  <c r="K42" i="11" s="1"/>
  <c r="P31" i="11"/>
  <c r="P33" i="11" s="1"/>
  <c r="P38" i="11" s="1"/>
  <c r="D40" i="11"/>
  <c r="D42" i="11" s="1"/>
  <c r="P8" i="11"/>
  <c r="O30" i="10" l="1"/>
  <c r="O27" i="9"/>
  <c r="C18" i="6"/>
  <c r="C19" i="6" s="1"/>
  <c r="P40" i="11"/>
  <c r="P42" i="11"/>
</calcChain>
</file>

<file path=xl/sharedStrings.xml><?xml version="1.0" encoding="utf-8"?>
<sst xmlns="http://schemas.openxmlformats.org/spreadsheetml/2006/main" count="940" uniqueCount="358">
  <si>
    <t>July</t>
  </si>
  <si>
    <t>TOTAL</t>
  </si>
  <si>
    <t>Mtly Bal</t>
  </si>
  <si>
    <t>August</t>
  </si>
  <si>
    <t>Nov</t>
  </si>
  <si>
    <t>Dec</t>
  </si>
  <si>
    <t>11/11 pmt</t>
  </si>
  <si>
    <t>12/11 pmt</t>
  </si>
  <si>
    <t>CitiBank 0% thru 6/12</t>
  </si>
  <si>
    <t>HSBC 0% thru 9/13/12</t>
  </si>
  <si>
    <t>September</t>
  </si>
  <si>
    <t>October</t>
  </si>
  <si>
    <t>November</t>
  </si>
  <si>
    <t>December</t>
  </si>
  <si>
    <t>As of 12/15/11</t>
  </si>
  <si>
    <t>Beginning Balance</t>
  </si>
  <si>
    <t>AMEX - Jetblue</t>
  </si>
  <si>
    <t>AMEX-Delta</t>
  </si>
  <si>
    <t>CitiCards</t>
  </si>
  <si>
    <t>FPL</t>
  </si>
  <si>
    <t>Greenhouse Acres</t>
  </si>
  <si>
    <t>GE Capital</t>
  </si>
  <si>
    <t>HBSC-Bestbuy</t>
  </si>
  <si>
    <t>HBSC-Jordans</t>
  </si>
  <si>
    <t>Macys</t>
  </si>
  <si>
    <t>RMLD</t>
  </si>
  <si>
    <t>Verizon</t>
  </si>
  <si>
    <t>Verizon Wireless</t>
  </si>
  <si>
    <t>Town of Reading</t>
  </si>
  <si>
    <t>Move to Svgs for RE Taxes</t>
  </si>
  <si>
    <t>Bill Pay -BoA</t>
  </si>
  <si>
    <t>Other pmts</t>
  </si>
  <si>
    <t>Commuter Rail</t>
  </si>
  <si>
    <t>Food (75 per week average)</t>
  </si>
  <si>
    <t>Gas (30 per week average)</t>
  </si>
  <si>
    <t>Safety Insurance home</t>
  </si>
  <si>
    <t>Safety Insurance autos</t>
  </si>
  <si>
    <t>Comcast</t>
  </si>
  <si>
    <t>Pay 26th</t>
  </si>
  <si>
    <t>Pay 14th nxt mo</t>
  </si>
  <si>
    <t>January</t>
  </si>
  <si>
    <t>Quarterly pmt $1,369.44 due 2/4/13</t>
  </si>
  <si>
    <t>Quarterly pmt $1,369.43 due 5/1/13</t>
  </si>
  <si>
    <t>February</t>
  </si>
  <si>
    <t>Total</t>
  </si>
  <si>
    <t>Macy's</t>
  </si>
  <si>
    <t>May</t>
  </si>
  <si>
    <t>June</t>
  </si>
  <si>
    <t>11/13 pmt</t>
  </si>
  <si>
    <t>12/13 pmt</t>
  </si>
  <si>
    <t>March</t>
  </si>
  <si>
    <t>April</t>
  </si>
  <si>
    <t>Quarterly pmt $1,369.43 due 8/1/13</t>
  </si>
  <si>
    <t>health</t>
  </si>
  <si>
    <t>condo FL</t>
  </si>
  <si>
    <t>Mthly</t>
  </si>
  <si>
    <t xml:space="preserve">Annnual </t>
  </si>
  <si>
    <t>Est. future</t>
  </si>
  <si>
    <t>til 10/17 7.28</t>
  </si>
  <si>
    <t>Citicards*</t>
  </si>
  <si>
    <t>GE Capital CareCredit**</t>
  </si>
  <si>
    <t>** GE CareCredit promotion til 9/5/14</t>
  </si>
  <si>
    <t>*  CitiCards promotion til 9/1/14</t>
  </si>
  <si>
    <t>06/14 pmt</t>
  </si>
  <si>
    <t>07/14 pmt</t>
  </si>
  <si>
    <t>08/14 pmt</t>
  </si>
  <si>
    <t>09/14 pmt</t>
  </si>
  <si>
    <t>-</t>
  </si>
  <si>
    <t>√</t>
  </si>
  <si>
    <t>As of 12/18/13</t>
  </si>
  <si>
    <t>AMEX</t>
  </si>
  <si>
    <t>Extra 12/13</t>
  </si>
  <si>
    <t>10/14 pmt</t>
  </si>
  <si>
    <t>Quarterly pmt $1,405.01 due 11/1/13</t>
  </si>
  <si>
    <t>Quarterly pmt $1,422.86 due 2/3/14</t>
  </si>
  <si>
    <t>Quarterly pmt $1,422.86 due 5/1/14</t>
  </si>
  <si>
    <t xml:space="preserve">Total </t>
  </si>
  <si>
    <t>Income</t>
  </si>
  <si>
    <t>BoA Cash Rewards</t>
  </si>
  <si>
    <t>11/14 pmt</t>
  </si>
  <si>
    <t>12/14 pmt</t>
  </si>
  <si>
    <t>As of 5/20/14</t>
  </si>
  <si>
    <t>CitiCards/CHASE</t>
  </si>
  <si>
    <t>Chase Slate</t>
  </si>
  <si>
    <t>Quarterly pmt $1,449.28 due 8/4/14</t>
  </si>
  <si>
    <t>Quarterly pmt $1,449.28 due 11/3/14</t>
  </si>
  <si>
    <t>CHASE</t>
  </si>
  <si>
    <t>pin money</t>
  </si>
  <si>
    <t>Condo Fees FL</t>
  </si>
  <si>
    <t>Quarterly pmt $1,370.91 due 2/2/15  v</t>
  </si>
  <si>
    <t>Quarterly pmt $1,370.91 due 5/1/15  v</t>
  </si>
  <si>
    <t>v</t>
  </si>
  <si>
    <t>Quarterly pmt $1,449.28 due 8/3/15over paid $3.93 v</t>
  </si>
  <si>
    <t>Quarterly pmt $1,441.42 due 11/2/15</t>
  </si>
  <si>
    <t>Verizon Wireless 11/18</t>
  </si>
  <si>
    <t>Comcast 11/17</t>
  </si>
  <si>
    <t>FPL 12/31</t>
  </si>
  <si>
    <t>AMEX-Delta 1/1</t>
  </si>
  <si>
    <t>Macys 1/2</t>
  </si>
  <si>
    <t>RMLD 12/28</t>
  </si>
  <si>
    <t>Safety Insurance autos 12/28</t>
  </si>
  <si>
    <t>Safety Insurance home 12/17</t>
  </si>
  <si>
    <t>Verizon 12/22</t>
  </si>
  <si>
    <t>state pmt 5.15%</t>
  </si>
  <si>
    <t>fed pmt 15%</t>
  </si>
  <si>
    <t>Net</t>
  </si>
  <si>
    <t>FL a/c</t>
  </si>
  <si>
    <t>Auto repair</t>
  </si>
  <si>
    <t>Fidelity 1/5/16 Draw</t>
  </si>
  <si>
    <t>Amt needed for bills thru 6/30</t>
  </si>
  <si>
    <t>Quarterly pmt $1,336.48 due 2/1/16  v</t>
  </si>
  <si>
    <t>Quarterly pmt $1,336.48 due 5/2/16  v</t>
  </si>
  <si>
    <t>Quarterly pmt $1,336.48 due 8/1/16 ?</t>
  </si>
  <si>
    <t>March√</t>
  </si>
  <si>
    <t>RMLD 10/24</t>
  </si>
  <si>
    <t>Safety Insurance home 10/17</t>
  </si>
  <si>
    <t>BCBS Medex</t>
  </si>
  <si>
    <t>Comcast 10/17</t>
  </si>
  <si>
    <t>FPL 11/2</t>
  </si>
  <si>
    <t>Verizon 10/22</t>
  </si>
  <si>
    <t>Verizon Wireless 10/30</t>
  </si>
  <si>
    <t>SBLI 2/2017</t>
  </si>
  <si>
    <t>Quarterly pmt $1,425.68 due 11/1/16 ?</t>
  </si>
  <si>
    <t>CapitalOne (Jordans)</t>
  </si>
  <si>
    <t>Synchrony Bank (Lenscrafter)</t>
  </si>
  <si>
    <t>MW SS</t>
  </si>
  <si>
    <t>WP Dep</t>
  </si>
  <si>
    <t>MW - Egan</t>
  </si>
  <si>
    <t>Expenses</t>
  </si>
  <si>
    <t>Other expenses</t>
  </si>
  <si>
    <t>Total Expenses</t>
  </si>
  <si>
    <t>Capital One (Jordans)</t>
  </si>
  <si>
    <t>Condo Insurance FL (Anchor)</t>
  </si>
  <si>
    <t>Fidelity 1/11/17 Draw</t>
  </si>
  <si>
    <t>Town of Reading (water,excise tax)</t>
  </si>
  <si>
    <t>Dentist</t>
  </si>
  <si>
    <t>AAA, BCBS</t>
  </si>
  <si>
    <t>FL Insurance</t>
  </si>
  <si>
    <t>Water Bill</t>
  </si>
  <si>
    <t>Nardone Oil</t>
  </si>
  <si>
    <t>Life Ins, MA RE tax,Excise Tax</t>
  </si>
  <si>
    <t>FL Condo fees thru 8/31</t>
  </si>
  <si>
    <t>Quarterly pmt $1,860.14 due 2/1/17  v</t>
  </si>
  <si>
    <t>Other Income (Fidelity)/IRS 3/22</t>
  </si>
  <si>
    <t>Fidelity 5/19/17 Draw</t>
  </si>
  <si>
    <t>Fed pmt 20%</t>
  </si>
  <si>
    <t>Quarterly pmt $1,860.14 due 5/1/17  v</t>
  </si>
  <si>
    <t>Fidelity 7/26/17 Draw</t>
  </si>
  <si>
    <t>Fed pmt 15%</t>
  </si>
  <si>
    <t>Quarterly pmt $1,597.34 due 11/1/17</t>
  </si>
  <si>
    <t xml:space="preserve">JetBlue 6578/Lund 1000/Cash </t>
  </si>
  <si>
    <t>Rewards 800/Bal for FL fees &amp; taxes</t>
  </si>
  <si>
    <t>Devaney Oil</t>
  </si>
  <si>
    <t>Quarterly pmt $1597.34 due 8/1/17  v</t>
  </si>
  <si>
    <t>AMEX-Delta 10/1</t>
  </si>
  <si>
    <t>BestBuy 10/4</t>
  </si>
  <si>
    <t>FPL 10/2</t>
  </si>
  <si>
    <t>JetBlue 10/2</t>
  </si>
  <si>
    <t>RMLD 9/26</t>
  </si>
  <si>
    <t>SBLI 2/2018</t>
  </si>
  <si>
    <t>Verizon 9/21</t>
  </si>
  <si>
    <t>Verizon Wireless 9/29</t>
  </si>
  <si>
    <t>Synchrony Bank (Lenscrafter/care card) 9/28</t>
  </si>
  <si>
    <t>Nardone</t>
  </si>
  <si>
    <t>Fidelity 10/3/17 Draw</t>
  </si>
  <si>
    <t>State pmt 5.15%</t>
  </si>
  <si>
    <t>Rent Income</t>
  </si>
  <si>
    <t xml:space="preserve">Safety Insurance home </t>
  </si>
  <si>
    <t>JetBlue</t>
  </si>
  <si>
    <t>BOA Cash Rewards</t>
  </si>
  <si>
    <t>Fidelity 4/11/2018</t>
  </si>
  <si>
    <t>Net (taxes,condo,acctg fees, oil 5200)</t>
  </si>
  <si>
    <t>BCBS Medex 7/15</t>
  </si>
  <si>
    <t>Fidelity 6/25/2018</t>
  </si>
  <si>
    <t>Qtrly pmt $1,637.84 due 2/1/18  v</t>
  </si>
  <si>
    <t>Qtrly pmt $1,637.84 due 5/1/18  v</t>
  </si>
  <si>
    <t>Qtrly pmt $1,756.71 due 8/1/18  v</t>
  </si>
  <si>
    <t>Qtrly pmt $1,756.70 due 11/1/18</t>
  </si>
  <si>
    <t>Town of Reading (water,exc tax)</t>
  </si>
  <si>
    <t>Other Inc (Fidelity)/IRS 3/22</t>
  </si>
  <si>
    <t>Macys 1/2/19</t>
  </si>
  <si>
    <t>BestBuy 6/1/19</t>
  </si>
  <si>
    <t>AMEX  1/1 (510)</t>
  </si>
  <si>
    <t>Greenhouse Acres 1/1</t>
  </si>
  <si>
    <t>BestBuy 1/1 (1188.42) 6/4/19 exp</t>
  </si>
  <si>
    <t>Fidelity 11/23/2018</t>
  </si>
  <si>
    <t>fed pmt 20%</t>
  </si>
  <si>
    <t>state pmt 5.1%</t>
  </si>
  <si>
    <t>BCBS Medex 1/15</t>
  </si>
  <si>
    <t>BOA Cash Rewards 1/1 2250</t>
  </si>
  <si>
    <t>CardServices JetBlue 1/2 4867</t>
  </si>
  <si>
    <t>FPL 1/1</t>
  </si>
  <si>
    <t>RMLD 12/26</t>
  </si>
  <si>
    <t>Safety Insurance home  12/18</t>
  </si>
  <si>
    <t>Synchrony Bank (Lensc) 12/28 exp 10/4/19</t>
  </si>
  <si>
    <t>Verizon  12/21</t>
  </si>
  <si>
    <t>Verizon Wireless  12/26</t>
  </si>
  <si>
    <t>Total Income</t>
  </si>
  <si>
    <t>Egan</t>
  </si>
  <si>
    <t xml:space="preserve">Jordans Furn 1/18 </t>
  </si>
  <si>
    <t>Town of Reading (water 1/15,exc tax)</t>
  </si>
  <si>
    <t>Comcast  1/15</t>
  </si>
  <si>
    <t>Macys 303</t>
  </si>
  <si>
    <t>Synchrony Bank</t>
  </si>
  <si>
    <t>Bill Pay -BoA     2019</t>
  </si>
  <si>
    <t>Fidelity 1/7/19</t>
  </si>
  <si>
    <t xml:space="preserve">Qtrly pmt $1,637.84 due 5/1/19  </t>
  </si>
  <si>
    <t>Qtrly pmt $1,637.84 due 2/1/19  v</t>
  </si>
  <si>
    <t>SBLI 2/2019 $950</t>
  </si>
  <si>
    <t>Verizon Wireless  4/26</t>
  </si>
  <si>
    <t>Comcast  4/15</t>
  </si>
  <si>
    <t>FPL 5/2</t>
  </si>
  <si>
    <t>RMLD 4/26</t>
  </si>
  <si>
    <t>CardServices JetBlue 5/2 6,475</t>
  </si>
  <si>
    <t>AMEX  5/1 1104</t>
  </si>
  <si>
    <t>BestBuy 5/1 430 6/4/19 exp</t>
  </si>
  <si>
    <t>BOA Cash Rewards 5/1 2240</t>
  </si>
  <si>
    <t>Greenhouse Acres 5/1</t>
  </si>
  <si>
    <t>Jordans 4/18</t>
  </si>
  <si>
    <t>Macys  5/1</t>
  </si>
  <si>
    <t>Fidelity 5/13/19</t>
  </si>
  <si>
    <t>Verizon  6/21</t>
  </si>
  <si>
    <t xml:space="preserve">Qtrly pmt $1,701.07 due 8/1/19  </t>
  </si>
  <si>
    <t>Qtrly pmt $1,701.06 due 11/1/19</t>
  </si>
  <si>
    <t>Net (windows 3,000, oil,tax, jetblue 2871)</t>
  </si>
  <si>
    <t>Fidelity 8/20/19</t>
  </si>
  <si>
    <t>Net (water tank, water bill, jetblue 500 )</t>
  </si>
  <si>
    <t xml:space="preserve">Quincy Mutual Auto Ins </t>
  </si>
  <si>
    <t>Condo Ins FL (Anchor) 1/19/20</t>
  </si>
  <si>
    <t>Synchrony  5/5/20 exp 1229</t>
  </si>
  <si>
    <t>Bill Pay -BoA     2020</t>
  </si>
  <si>
    <t>Fidelity 1/3/20</t>
  </si>
  <si>
    <t xml:space="preserve">Net </t>
  </si>
  <si>
    <t>Macys 1/2/20</t>
  </si>
  <si>
    <t>Water bill due 1/15, 4/15, 7/15, 10/15</t>
  </si>
  <si>
    <t>Comcast  3/17</t>
  </si>
  <si>
    <t>Verizon Wireless  5/26</t>
  </si>
  <si>
    <t>Verizon 5/22</t>
  </si>
  <si>
    <t>RMLD 5/26</t>
  </si>
  <si>
    <t>Jordans 5/18</t>
  </si>
  <si>
    <t xml:space="preserve">Quincy Mutual Home Ins </t>
  </si>
  <si>
    <t>Account Name</t>
  </si>
  <si>
    <t>Kostinden Trust - Fidelity</t>
  </si>
  <si>
    <t>Balance on 8/16/20</t>
  </si>
  <si>
    <t>Maureen A. White &amp;</t>
  </si>
  <si>
    <t>William Kostinden &amp;</t>
  </si>
  <si>
    <t>Maureen A. White TD Bank Account</t>
  </si>
  <si>
    <t>Deborah Greenleaf Fidelity</t>
  </si>
  <si>
    <t>Balance on 8/17/20</t>
  </si>
  <si>
    <t xml:space="preserve">Each Share Total </t>
  </si>
  <si>
    <t>Fidelity</t>
  </si>
  <si>
    <t>Other Income</t>
  </si>
  <si>
    <t>CareCredit</t>
  </si>
  <si>
    <t>Fidelity 9/11</t>
  </si>
  <si>
    <t>BestBuy</t>
  </si>
  <si>
    <t>Jordans</t>
  </si>
  <si>
    <t>AMEX  (4153)</t>
  </si>
  <si>
    <t>CardServ jetBlue ( 5314)</t>
  </si>
  <si>
    <t>BestBuy  (342)</t>
  </si>
  <si>
    <t>BOA Cash Rewards (2816)</t>
  </si>
  <si>
    <t>Macys (9/20 110)</t>
  </si>
  <si>
    <t>Qtrly pmt $1,708.31 due 2/1/20 v</t>
  </si>
  <si>
    <t>Qtrly pmt $1,708.30 due 5/1/20 v</t>
  </si>
  <si>
    <t xml:space="preserve">Qtrly pmt $1,747.31 due 8/1/20 </t>
  </si>
  <si>
    <t xml:space="preserve">Qtrly pmt $1,747.30 due 11/1/20 </t>
  </si>
  <si>
    <t>SBLI 2/21 1000</t>
  </si>
  <si>
    <t>Condo Ins FL (Anchor) 1/21</t>
  </si>
  <si>
    <t>Fidelity 1/4/21</t>
  </si>
  <si>
    <t>state pmt 5%</t>
  </si>
  <si>
    <t>Misc. Income</t>
  </si>
  <si>
    <t>Qtrly pmt $1,683.10 due 2/1/21</t>
  </si>
  <si>
    <t xml:space="preserve">Qtrly pmt $1,683.10 due 5/3/21 </t>
  </si>
  <si>
    <t xml:space="preserve">Qtrly pmt $1,747.31 due 8/1/21 </t>
  </si>
  <si>
    <t>Qtrly pmt $1,747.31 due 11/1/21</t>
  </si>
  <si>
    <t>Bill Pay -BoA     2021</t>
  </si>
  <si>
    <t>Verizon 3/18</t>
  </si>
  <si>
    <t>Jordans 5/18 (334.00)</t>
  </si>
  <si>
    <t>BestBuy  (0.00)</t>
  </si>
  <si>
    <t>RMLD 5/26 501000-101000</t>
  </si>
  <si>
    <t>Misc</t>
  </si>
  <si>
    <t>Health Ins</t>
  </si>
  <si>
    <t>water</t>
  </si>
  <si>
    <t>Condo 5 mos</t>
  </si>
  <si>
    <t>Net (Condo,BCBS,Water Misc )</t>
  </si>
  <si>
    <t>Fidelity 6/28/21</t>
  </si>
  <si>
    <t>ü</t>
  </si>
  <si>
    <t>BOA Cash Rewards (9/1 13)</t>
  </si>
  <si>
    <t>Citi Diamond Pfd (due 3/23 5728)</t>
  </si>
  <si>
    <t>CitiCard Diamond</t>
  </si>
  <si>
    <t>AMEX  (10/1 3856)</t>
  </si>
  <si>
    <t>CardServ  jetBlue (10/1 11,627)</t>
  </si>
  <si>
    <t>Macys  (10/1 113.00)</t>
  </si>
  <si>
    <t>CareCredit (10/28 654)</t>
  </si>
  <si>
    <t>Fidelity 1/4/22</t>
  </si>
  <si>
    <t>Qtrly pmt $1,616.41 due 2/1/22</t>
  </si>
  <si>
    <t>Condo Ins FL (Anchor) 1/22</t>
  </si>
  <si>
    <t>Macys  1/1 (98)</t>
  </si>
  <si>
    <t>Net (BCBS FL fees ins SBLI Water Fl Auto misc 7600)</t>
  </si>
  <si>
    <t xml:space="preserve">Qtrly pmt $1,616.40  due 5/3/22 </t>
  </si>
  <si>
    <t>Fidelity Actual YE</t>
  </si>
  <si>
    <t>Bill Pay -BoA     2022</t>
  </si>
  <si>
    <t>Misc. Income WK</t>
  </si>
  <si>
    <t>AMEX 6416</t>
  </si>
  <si>
    <t>CitiCard Diamond 3975</t>
  </si>
  <si>
    <t>JetBlue 1/21 12,000</t>
  </si>
  <si>
    <t>Condo Fees FL 101 - D</t>
  </si>
  <si>
    <t>Fidelity 6/27/22</t>
  </si>
  <si>
    <t>Water,BCBS,Condo1+2</t>
  </si>
  <si>
    <t>FPL #101</t>
  </si>
  <si>
    <t>FPL #D</t>
  </si>
  <si>
    <t>HotWire/fka Xfinity (til 7/22)</t>
  </si>
  <si>
    <t>Fidelity 10/6/22</t>
  </si>
  <si>
    <t>Spec Assmt 101/D 3,372.22</t>
  </si>
  <si>
    <t>Est Tax 101/D 4,300</t>
  </si>
  <si>
    <t>Bal 4,360.56</t>
  </si>
  <si>
    <t>AMEX  (12/27 7,506)</t>
  </si>
  <si>
    <t>BOA Cash Rew (12/27 9800)</t>
  </si>
  <si>
    <t>BestBuy  (5000)</t>
  </si>
  <si>
    <t>CardServ  (12/27 17,205)</t>
  </si>
  <si>
    <t>CitiDiamond Pfd (12/27 3887)</t>
  </si>
  <si>
    <t>CareCredit (due 1/4 2000)</t>
  </si>
  <si>
    <t>Bill Pay -BoA     2023</t>
  </si>
  <si>
    <t>Fidelity 1/3/23 Distribution</t>
  </si>
  <si>
    <t>State pmt 5%</t>
  </si>
  <si>
    <t>Fidelity 1/3/23</t>
  </si>
  <si>
    <t>BestBuy  (5000 expire 7/4/24)</t>
  </si>
  <si>
    <t>CitiDiamond Pfd (exp 6/1)</t>
  </si>
  <si>
    <t>CareCredit (exp 5/5/23)</t>
  </si>
  <si>
    <t>Fidelity 3//28/23</t>
  </si>
  <si>
    <t>Fidelity 3/28/23 Distribution</t>
  </si>
  <si>
    <t xml:space="preserve">Qtrly pmt $1,703.24  due 5/1/23 </t>
  </si>
  <si>
    <t xml:space="preserve">Qtrly pmt $1,747.31 due 8/1/23 </t>
  </si>
  <si>
    <t>Qtrly pmt $1,747.31 due 11/1/23</t>
  </si>
  <si>
    <t>Qtrly pmt $1,703.24 due 2/1/22</t>
  </si>
  <si>
    <t xml:space="preserve">Misc. Income </t>
  </si>
  <si>
    <t>AMEX  (6/14 260)</t>
  </si>
  <si>
    <t>BOA Cash Rew (6/14 1000)</t>
  </si>
  <si>
    <t>Quincy Mutual Auto Ins (1384)</t>
  </si>
  <si>
    <t xml:space="preserve">  </t>
  </si>
  <si>
    <t>FL RE Taxes</t>
  </si>
  <si>
    <t xml:space="preserve">FL Ins (Citizens) </t>
  </si>
  <si>
    <t>FL Condo Fees 43-D</t>
  </si>
  <si>
    <t>Nardone (jblue)</t>
  </si>
  <si>
    <t>CardServ  (9/14 2800)</t>
  </si>
  <si>
    <t xml:space="preserve">FPL </t>
  </si>
  <si>
    <t>HotWire 43-D</t>
  </si>
  <si>
    <t>Macys  10/1 (175)</t>
  </si>
  <si>
    <t>FPL 43-D</t>
  </si>
  <si>
    <t>FL Condo Fee</t>
  </si>
  <si>
    <t>BCBS Medex 1,4,7,10/15</t>
  </si>
  <si>
    <t>Bill Pay -BoA     2024</t>
  </si>
  <si>
    <t xml:space="preserve">Macys  </t>
  </si>
  <si>
    <t>AMEX  (6/14 760)</t>
  </si>
  <si>
    <t>BCBS Medex 1,4,7,10/15/24</t>
  </si>
  <si>
    <t xml:space="preserve">Fidelity </t>
  </si>
  <si>
    <t>Qtrly pmt $1,732.74 due 2/1/22</t>
  </si>
  <si>
    <t xml:space="preserve">Qtrly pmt $1,732.74  due 5/1/23 </t>
  </si>
  <si>
    <t>Water a/c #61056079000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</si>
</sst>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_(&quot;$&quot;* #,##0_);_(&quot;$&quot;* \(#,##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u/>
      <sz val="10"/>
      <color theme="10"/>
      <name val="Arial"/>
    </font>
    <font>
      <b/>
      <u/>
      <sz val="10"/>
      <color theme="10"/>
      <name val="Arial"/>
      <family val="2"/>
    </font>
    <font>
      <sz val="14"/>
      <name val="Wingdings"/>
      <charset val="2"/>
    </font>
    <font>
      <sz val="7"/>
      <color rgb="FF040C13"/>
      <name val="Arial"/>
      <family val="2"/>
    </font>
    <font>
      <b/>
      <sz val="14"/>
      <name val="Wingdings"/>
      <charset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34">
    <xf numFmtId="0" fontId="0" fillId="0" borderId="0" xfId="0"/>
    <xf numFmtId="2" fontId="0" fillId="0" borderId="0" xfId="0" applyNumberFormat="1"/>
    <xf numFmtId="0" fontId="2" fillId="0" borderId="0" xfId="0" applyFont="1"/>
    <xf numFmtId="43" fontId="0" fillId="0" borderId="0" xfId="1" applyFont="1"/>
    <xf numFmtId="43" fontId="0" fillId="0" borderId="1" xfId="1" applyFont="1" applyBorder="1"/>
    <xf numFmtId="43" fontId="0" fillId="0" borderId="0" xfId="0" applyNumberFormat="1"/>
    <xf numFmtId="16" fontId="0" fillId="0" borderId="0" xfId="0" applyNumberFormat="1"/>
    <xf numFmtId="2" fontId="0" fillId="0" borderId="0" xfId="0" applyNumberFormat="1" applyAlignment="1">
      <alignment horizontal="right"/>
    </xf>
    <xf numFmtId="2" fontId="4" fillId="0" borderId="0" xfId="0" applyNumberFormat="1" applyFont="1" applyAlignment="1">
      <alignment horizontal="right"/>
    </xf>
    <xf numFmtId="43" fontId="0" fillId="0" borderId="0" xfId="0" applyNumberFormat="1" applyAlignment="1">
      <alignment horizontal="right"/>
    </xf>
    <xf numFmtId="43" fontId="2" fillId="0" borderId="0" xfId="1" applyFont="1"/>
    <xf numFmtId="43" fontId="1" fillId="0" borderId="0" xfId="1"/>
    <xf numFmtId="43" fontId="1" fillId="0" borderId="1" xfId="1" applyBorder="1"/>
    <xf numFmtId="2" fontId="4" fillId="0" borderId="0" xfId="0" applyNumberFormat="1" applyFont="1"/>
    <xf numFmtId="43" fontId="4" fillId="0" borderId="0" xfId="1" applyFont="1"/>
    <xf numFmtId="14" fontId="0" fillId="0" borderId="0" xfId="0" applyNumberFormat="1" applyAlignment="1">
      <alignment horizontal="left"/>
    </xf>
    <xf numFmtId="43" fontId="0" fillId="0" borderId="1" xfId="0" applyNumberFormat="1" applyBorder="1"/>
    <xf numFmtId="0" fontId="0" fillId="0" borderId="0" xfId="0" applyAlignment="1">
      <alignment horizontal="center"/>
    </xf>
    <xf numFmtId="0" fontId="0" fillId="0" borderId="1" xfId="0" applyBorder="1"/>
    <xf numFmtId="2" fontId="0" fillId="0" borderId="1" xfId="0" applyNumberFormat="1" applyBorder="1"/>
    <xf numFmtId="43" fontId="0" fillId="0" borderId="0" xfId="1" applyFont="1" applyAlignment="1">
      <alignment horizontal="right"/>
    </xf>
    <xf numFmtId="0" fontId="0" fillId="0" borderId="0" xfId="0" applyAlignment="1">
      <alignment horizontal="right"/>
    </xf>
    <xf numFmtId="43" fontId="0" fillId="0" borderId="1" xfId="1" applyFont="1" applyBorder="1" applyAlignment="1">
      <alignment horizontal="right"/>
    </xf>
    <xf numFmtId="2" fontId="0" fillId="0" borderId="1" xfId="0" applyNumberFormat="1" applyBorder="1" applyAlignment="1">
      <alignment horizontal="right"/>
    </xf>
    <xf numFmtId="2" fontId="0" fillId="0" borderId="0" xfId="1" applyNumberFormat="1" applyFont="1" applyAlignment="1">
      <alignment horizontal="right"/>
    </xf>
    <xf numFmtId="44" fontId="0" fillId="0" borderId="0" xfId="2" applyFont="1"/>
    <xf numFmtId="0" fontId="4" fillId="0" borderId="0" xfId="0" applyFont="1"/>
    <xf numFmtId="2" fontId="1" fillId="0" borderId="1" xfId="0" applyNumberFormat="1" applyFont="1" applyBorder="1"/>
    <xf numFmtId="44" fontId="0" fillId="0" borderId="0" xfId="0" applyNumberFormat="1"/>
    <xf numFmtId="2" fontId="2" fillId="0" borderId="0" xfId="0" applyNumberFormat="1" applyFont="1"/>
    <xf numFmtId="43" fontId="4" fillId="0" borderId="0" xfId="0" applyNumberFormat="1" applyFont="1"/>
    <xf numFmtId="43" fontId="4" fillId="0" borderId="1" xfId="1" applyFont="1" applyBorder="1"/>
    <xf numFmtId="43" fontId="4" fillId="0" borderId="2" xfId="1" applyFont="1" applyBorder="1"/>
    <xf numFmtId="43" fontId="4" fillId="0" borderId="1" xfId="1" applyFont="1" applyBorder="1" applyAlignment="1">
      <alignment horizontal="right"/>
    </xf>
    <xf numFmtId="43" fontId="1" fillId="0" borderId="0" xfId="1" applyAlignment="1">
      <alignment horizontal="right"/>
    </xf>
    <xf numFmtId="43" fontId="4" fillId="0" borderId="0" xfId="1" applyFont="1" applyAlignment="1">
      <alignment horizontal="right"/>
    </xf>
    <xf numFmtId="44" fontId="1" fillId="0" borderId="0" xfId="2"/>
    <xf numFmtId="2" fontId="1" fillId="0" borderId="0" xfId="1" applyNumberFormat="1" applyAlignment="1">
      <alignment horizontal="right"/>
    </xf>
    <xf numFmtId="43" fontId="1" fillId="0" borderId="1" xfId="1" applyBorder="1" applyAlignment="1">
      <alignment horizontal="right"/>
    </xf>
    <xf numFmtId="0" fontId="0" fillId="0" borderId="1" xfId="0" applyBorder="1" applyAlignment="1">
      <alignment horizontal="center"/>
    </xf>
    <xf numFmtId="2" fontId="4" fillId="0" borderId="1" xfId="0" applyNumberFormat="1" applyFont="1" applyBorder="1"/>
    <xf numFmtId="44" fontId="2" fillId="0" borderId="0" xfId="0" applyNumberFormat="1" applyFont="1"/>
    <xf numFmtId="44" fontId="1" fillId="0" borderId="1" xfId="2" applyBorder="1"/>
    <xf numFmtId="4" fontId="0" fillId="0" borderId="0" xfId="0" applyNumberFormat="1"/>
    <xf numFmtId="0" fontId="5" fillId="0" borderId="0" xfId="0" applyFont="1"/>
    <xf numFmtId="0" fontId="6" fillId="0" borderId="0" xfId="0" applyFont="1"/>
    <xf numFmtId="0" fontId="6" fillId="0" borderId="1" xfId="0" applyFont="1" applyBorder="1" applyAlignment="1">
      <alignment horizontal="center"/>
    </xf>
    <xf numFmtId="0" fontId="6" fillId="0" borderId="1" xfId="0" applyFont="1" applyBorder="1"/>
    <xf numFmtId="0" fontId="5" fillId="0" borderId="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2" fontId="6" fillId="0" borderId="0" xfId="0" applyNumberFormat="1" applyFont="1"/>
    <xf numFmtId="2" fontId="7" fillId="0" borderId="0" xfId="0" applyNumberFormat="1" applyFont="1"/>
    <xf numFmtId="2" fontId="8" fillId="0" borderId="0" xfId="0" applyNumberFormat="1" applyFont="1"/>
    <xf numFmtId="43" fontId="6" fillId="0" borderId="0" xfId="1" applyFont="1"/>
    <xf numFmtId="2" fontId="5" fillId="0" borderId="0" xfId="0" applyNumberFormat="1" applyFont="1"/>
    <xf numFmtId="2" fontId="6" fillId="0" borderId="1" xfId="0" applyNumberFormat="1" applyFont="1" applyBorder="1"/>
    <xf numFmtId="2" fontId="5" fillId="0" borderId="1" xfId="0" applyNumberFormat="1" applyFont="1" applyBorder="1"/>
    <xf numFmtId="43" fontId="6" fillId="0" borderId="1" xfId="1" applyFont="1" applyBorder="1"/>
    <xf numFmtId="43" fontId="5" fillId="0" borderId="0" xfId="1" applyFont="1"/>
    <xf numFmtId="44" fontId="6" fillId="0" borderId="0" xfId="2" applyFont="1"/>
    <xf numFmtId="44" fontId="5" fillId="0" borderId="0" xfId="2" applyFont="1"/>
    <xf numFmtId="43" fontId="6" fillId="0" borderId="0" xfId="1" applyFont="1" applyAlignment="1">
      <alignment horizontal="right"/>
    </xf>
    <xf numFmtId="43" fontId="5" fillId="0" borderId="0" xfId="1" applyFont="1" applyAlignment="1">
      <alignment horizontal="right"/>
    </xf>
    <xf numFmtId="2" fontId="6" fillId="0" borderId="0" xfId="1" applyNumberFormat="1" applyFont="1" applyAlignment="1">
      <alignment horizontal="right"/>
    </xf>
    <xf numFmtId="2" fontId="5" fillId="0" borderId="0" xfId="1" applyNumberFormat="1" applyFont="1" applyAlignment="1">
      <alignment horizontal="right"/>
    </xf>
    <xf numFmtId="43" fontId="6" fillId="0" borderId="1" xfId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3" fontId="6" fillId="0" borderId="0" xfId="0" applyNumberFormat="1" applyFont="1"/>
    <xf numFmtId="44" fontId="6" fillId="0" borderId="0" xfId="0" applyNumberFormat="1" applyFont="1"/>
    <xf numFmtId="44" fontId="5" fillId="0" borderId="0" xfId="0" applyNumberFormat="1" applyFont="1"/>
    <xf numFmtId="8" fontId="6" fillId="0" borderId="0" xfId="0" applyNumberFormat="1" applyFont="1"/>
    <xf numFmtId="4" fontId="6" fillId="0" borderId="0" xfId="0" applyNumberFormat="1" applyFont="1"/>
    <xf numFmtId="0" fontId="6" fillId="0" borderId="3" xfId="0" applyFont="1" applyBorder="1"/>
    <xf numFmtId="0" fontId="9" fillId="0" borderId="0" xfId="0" applyFont="1"/>
    <xf numFmtId="0" fontId="10" fillId="0" borderId="0" xfId="0" applyFont="1"/>
    <xf numFmtId="0" fontId="10" fillId="0" borderId="1" xfId="0" applyFont="1" applyBorder="1"/>
    <xf numFmtId="43" fontId="10" fillId="0" borderId="0" xfId="0" applyNumberFormat="1" applyFont="1"/>
    <xf numFmtId="2" fontId="10" fillId="0" borderId="0" xfId="0" applyNumberFormat="1" applyFont="1"/>
    <xf numFmtId="44" fontId="10" fillId="0" borderId="0" xfId="0" applyNumberFormat="1" applyFont="1"/>
    <xf numFmtId="4" fontId="10" fillId="0" borderId="0" xfId="0" applyNumberFormat="1" applyFont="1"/>
    <xf numFmtId="0" fontId="10" fillId="0" borderId="0" xfId="0" applyFont="1" applyAlignment="1">
      <alignment wrapText="1"/>
    </xf>
    <xf numFmtId="0" fontId="11" fillId="0" borderId="0" xfId="0" applyFont="1"/>
    <xf numFmtId="0" fontId="12" fillId="0" borderId="0" xfId="0" applyFont="1"/>
    <xf numFmtId="0" fontId="12" fillId="0" borderId="1" xfId="0" applyFont="1" applyBorder="1" applyAlignment="1">
      <alignment horizontal="center"/>
    </xf>
    <xf numFmtId="0" fontId="12" fillId="0" borderId="1" xfId="0" applyFont="1" applyBorder="1"/>
    <xf numFmtId="0" fontId="1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" fontId="12" fillId="0" borderId="0" xfId="0" applyNumberFormat="1" applyFont="1"/>
    <xf numFmtId="43" fontId="12" fillId="0" borderId="0" xfId="1" applyFont="1"/>
    <xf numFmtId="2" fontId="12" fillId="0" borderId="1" xfId="0" applyNumberFormat="1" applyFont="1" applyBorder="1"/>
    <xf numFmtId="43" fontId="12" fillId="0" borderId="1" xfId="1" applyFont="1" applyBorder="1"/>
    <xf numFmtId="43" fontId="11" fillId="0" borderId="0" xfId="1" applyFont="1"/>
    <xf numFmtId="43" fontId="12" fillId="0" borderId="0" xfId="1" applyFont="1" applyAlignment="1">
      <alignment horizontal="right"/>
    </xf>
    <xf numFmtId="44" fontId="12" fillId="0" borderId="0" xfId="2" applyFont="1"/>
    <xf numFmtId="2" fontId="12" fillId="0" borderId="0" xfId="1" applyNumberFormat="1" applyFont="1" applyAlignment="1">
      <alignment horizontal="right"/>
    </xf>
    <xf numFmtId="43" fontId="12" fillId="0" borderId="1" xfId="1" applyFont="1" applyBorder="1" applyAlignment="1">
      <alignment horizontal="right"/>
    </xf>
    <xf numFmtId="2" fontId="12" fillId="0" borderId="1" xfId="0" applyNumberFormat="1" applyFont="1" applyBorder="1" applyAlignment="1">
      <alignment horizontal="right"/>
    </xf>
    <xf numFmtId="43" fontId="12" fillId="0" borderId="0" xfId="0" applyNumberFormat="1" applyFont="1"/>
    <xf numFmtId="44" fontId="12" fillId="0" borderId="0" xfId="0" applyNumberFormat="1" applyFont="1"/>
    <xf numFmtId="44" fontId="11" fillId="0" borderId="0" xfId="0" applyNumberFormat="1" applyFont="1"/>
    <xf numFmtId="8" fontId="12" fillId="0" borderId="0" xfId="0" applyNumberFormat="1" applyFont="1"/>
    <xf numFmtId="44" fontId="12" fillId="0" borderId="1" xfId="0" applyNumberFormat="1" applyFont="1" applyBorder="1"/>
    <xf numFmtId="43" fontId="11" fillId="0" borderId="0" xfId="0" applyNumberFormat="1" applyFont="1"/>
    <xf numFmtId="43" fontId="10" fillId="0" borderId="0" xfId="1" applyFont="1"/>
    <xf numFmtId="14" fontId="12" fillId="0" borderId="0" xfId="0" applyNumberFormat="1" applyFont="1" applyAlignment="1">
      <alignment horizontal="left"/>
    </xf>
    <xf numFmtId="16" fontId="12" fillId="0" borderId="0" xfId="0" applyNumberFormat="1" applyFont="1"/>
    <xf numFmtId="0" fontId="1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14" fontId="0" fillId="0" borderId="0" xfId="0" applyNumberFormat="1"/>
    <xf numFmtId="8" fontId="0" fillId="0" borderId="0" xfId="0" applyNumberFormat="1"/>
    <xf numFmtId="8" fontId="2" fillId="0" borderId="0" xfId="0" applyNumberFormat="1" applyFont="1"/>
    <xf numFmtId="164" fontId="12" fillId="0" borderId="0" xfId="0" applyNumberFormat="1" applyFont="1"/>
    <xf numFmtId="43" fontId="12" fillId="0" borderId="0" xfId="1" applyFont="1" applyBorder="1"/>
    <xf numFmtId="44" fontId="10" fillId="0" borderId="0" xfId="2" applyFont="1"/>
    <xf numFmtId="43" fontId="12" fillId="0" borderId="0" xfId="1" applyFont="1" applyAlignment="1">
      <alignment horizontal="center"/>
    </xf>
    <xf numFmtId="43" fontId="11" fillId="0" borderId="0" xfId="1" applyFont="1" applyAlignment="1">
      <alignment horizontal="center"/>
    </xf>
    <xf numFmtId="0" fontId="14" fillId="0" borderId="0" xfId="3" applyFont="1"/>
    <xf numFmtId="8" fontId="1" fillId="0" borderId="0" xfId="0" applyNumberFormat="1" applyFont="1"/>
    <xf numFmtId="4" fontId="1" fillId="0" borderId="0" xfId="0" applyNumberFormat="1" applyFont="1"/>
    <xf numFmtId="4" fontId="0" fillId="0" borderId="1" xfId="0" applyNumberFormat="1" applyBorder="1"/>
    <xf numFmtId="8" fontId="2" fillId="0" borderId="4" xfId="0" applyNumberFormat="1" applyFont="1" applyBorder="1"/>
    <xf numFmtId="43" fontId="11" fillId="0" borderId="0" xfId="1" applyFont="1" applyBorder="1"/>
    <xf numFmtId="0" fontId="15" fillId="0" borderId="0" xfId="1" applyNumberFormat="1" applyFont="1"/>
    <xf numFmtId="14" fontId="12" fillId="0" borderId="0" xfId="0" applyNumberFormat="1" applyFont="1"/>
    <xf numFmtId="164" fontId="11" fillId="0" borderId="0" xfId="0" applyNumberFormat="1" applyFont="1"/>
    <xf numFmtId="0" fontId="16" fillId="0" borderId="0" xfId="0" applyFont="1" applyAlignment="1">
      <alignment vertical="center" wrapText="1"/>
    </xf>
    <xf numFmtId="4" fontId="12" fillId="0" borderId="0" xfId="0" applyNumberFormat="1" applyFont="1"/>
    <xf numFmtId="165" fontId="12" fillId="0" borderId="0" xfId="2" applyNumberFormat="1" applyFont="1"/>
    <xf numFmtId="0" fontId="12" fillId="0" borderId="0" xfId="0" applyFont="1" applyAlignment="1">
      <alignment horizontal="left"/>
    </xf>
    <xf numFmtId="44" fontId="12" fillId="0" borderId="1" xfId="2" applyFont="1" applyBorder="1"/>
    <xf numFmtId="0" fontId="17" fillId="0" borderId="0" xfId="1" applyNumberFormat="1" applyFont="1"/>
    <xf numFmtId="13" fontId="12" fillId="0" borderId="0" xfId="1" applyNumberFormat="1" applyFont="1"/>
  </cellXfs>
  <cellStyles count="4">
    <cellStyle name="Comma" xfId="1" builtinId="3"/>
    <cellStyle name="Currency" xfId="2" builtinId="4"/>
    <cellStyle name="Hyperlink" xfId="3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2751B6-AB81-4E79-B215-90308F090A94}">
  <dimension ref="A1:V92"/>
  <sheetViews>
    <sheetView tabSelected="1" topLeftCell="A21" zoomScaleNormal="70" workbookViewId="0">
      <pane xSplit="1" topLeftCell="B1" activePane="topRight" state="frozen"/>
      <selection pane="topRight" activeCell="D24" sqref="D24"/>
    </sheetView>
  </sheetViews>
  <sheetFormatPr defaultColWidth="9.05859375" defaultRowHeight="15" x14ac:dyDescent="0.45"/>
  <cols>
    <col min="1" max="1" width="31.8203125" style="75" customWidth="1"/>
    <col min="2" max="2" width="15.41015625" style="75" customWidth="1"/>
    <col min="3" max="3" width="13.87890625" style="75" customWidth="1"/>
    <col min="4" max="4" width="13.29296875" style="75" customWidth="1"/>
    <col min="5" max="5" width="3.234375" style="75" customWidth="1"/>
    <col min="6" max="6" width="13.1171875" style="75" customWidth="1"/>
    <col min="7" max="7" width="13.3515625" style="75" customWidth="1"/>
    <col min="8" max="8" width="12.9375" style="75" customWidth="1"/>
    <col min="9" max="9" width="13.46875" style="75" customWidth="1"/>
    <col min="10" max="10" width="12.52734375" style="75" customWidth="1"/>
    <col min="11" max="11" width="13.05859375" style="75" customWidth="1"/>
    <col min="12" max="12" width="13.17578125" style="75" customWidth="1"/>
    <col min="13" max="13" width="12.64453125" style="75" customWidth="1"/>
    <col min="14" max="14" width="2.8203125" style="75" customWidth="1"/>
    <col min="15" max="15" width="13.8203125" style="75" customWidth="1"/>
    <col min="16" max="16" width="14.87890625" style="75" customWidth="1"/>
    <col min="17" max="17" width="12.1171875" style="75" customWidth="1"/>
    <col min="18" max="18" width="14.1171875" style="75" customWidth="1"/>
    <col min="19" max="19" width="13.46875" style="75" customWidth="1"/>
    <col min="20" max="16384" width="9.05859375" style="75"/>
  </cols>
  <sheetData>
    <row r="1" spans="1:20" ht="17.7" x14ac:dyDescent="0.55000000000000004">
      <c r="A1" s="82" t="s">
        <v>350</v>
      </c>
      <c r="B1" s="84" t="s">
        <v>40</v>
      </c>
      <c r="C1" s="84" t="s">
        <v>43</v>
      </c>
      <c r="D1" s="84" t="s">
        <v>50</v>
      </c>
      <c r="E1" s="84"/>
      <c r="F1" s="84" t="s">
        <v>51</v>
      </c>
      <c r="G1" s="84" t="s">
        <v>46</v>
      </c>
      <c r="H1" s="84" t="s">
        <v>47</v>
      </c>
      <c r="I1" s="84" t="s">
        <v>0</v>
      </c>
      <c r="J1" s="84" t="s">
        <v>3</v>
      </c>
      <c r="K1" s="84" t="s">
        <v>10</v>
      </c>
      <c r="L1" s="84" t="s">
        <v>11</v>
      </c>
      <c r="M1" s="84" t="s">
        <v>12</v>
      </c>
      <c r="N1" s="84"/>
      <c r="O1" s="84" t="s">
        <v>13</v>
      </c>
      <c r="P1" s="84" t="s">
        <v>44</v>
      </c>
      <c r="Q1" s="86"/>
      <c r="R1" s="83"/>
    </row>
    <row r="2" spans="1:20" ht="17.7" x14ac:dyDescent="0.55000000000000004">
      <c r="A2" s="82" t="s">
        <v>77</v>
      </c>
      <c r="B2" s="86"/>
      <c r="C2" s="83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3"/>
    </row>
    <row r="3" spans="1:20" ht="17.7" x14ac:dyDescent="0.55000000000000004">
      <c r="A3" s="83" t="s">
        <v>125</v>
      </c>
      <c r="B3" s="89">
        <v>3086.7</v>
      </c>
      <c r="C3" s="89">
        <v>3086.7</v>
      </c>
      <c r="D3" s="89">
        <v>3086.7</v>
      </c>
      <c r="E3" s="132" t="s">
        <v>285</v>
      </c>
      <c r="F3" s="89">
        <v>3086.7</v>
      </c>
      <c r="G3" s="89">
        <v>3086.7</v>
      </c>
      <c r="H3" s="89">
        <v>3086.7</v>
      </c>
      <c r="I3" s="89">
        <v>3086.7</v>
      </c>
      <c r="J3" s="89">
        <v>3086.7</v>
      </c>
      <c r="K3" s="89">
        <v>3086.7</v>
      </c>
      <c r="L3" s="89">
        <v>3086.7</v>
      </c>
      <c r="M3" s="89">
        <v>3086.7</v>
      </c>
      <c r="N3" s="132" t="s">
        <v>285</v>
      </c>
      <c r="O3" s="89">
        <v>3086.7</v>
      </c>
      <c r="P3" s="89">
        <f>SUM(B3:O3)</f>
        <v>37040.400000000001</v>
      </c>
      <c r="Q3" s="89"/>
      <c r="R3" s="92"/>
    </row>
    <row r="4" spans="1:20" ht="17.7" x14ac:dyDescent="0.55000000000000004">
      <c r="A4" s="83" t="s">
        <v>126</v>
      </c>
      <c r="B4" s="89">
        <v>500</v>
      </c>
      <c r="C4" s="89">
        <v>500</v>
      </c>
      <c r="D4" s="89">
        <v>500</v>
      </c>
      <c r="E4" s="89"/>
      <c r="F4" s="89">
        <v>500</v>
      </c>
      <c r="G4" s="89">
        <v>500</v>
      </c>
      <c r="H4" s="89">
        <v>500</v>
      </c>
      <c r="I4" s="89">
        <v>500</v>
      </c>
      <c r="J4" s="89">
        <v>500</v>
      </c>
      <c r="K4" s="89">
        <v>500</v>
      </c>
      <c r="L4" s="89">
        <v>500</v>
      </c>
      <c r="M4" s="89">
        <v>500</v>
      </c>
      <c r="N4" s="89"/>
      <c r="O4" s="89">
        <v>500</v>
      </c>
      <c r="P4" s="89">
        <f>SUM(B4:O4)</f>
        <v>6000</v>
      </c>
      <c r="Q4" s="92"/>
      <c r="R4" s="83"/>
    </row>
    <row r="5" spans="1:20" ht="17.350000000000001" x14ac:dyDescent="0.5">
      <c r="A5" s="83" t="s">
        <v>334</v>
      </c>
      <c r="B5" s="89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89"/>
      <c r="P5" s="89">
        <f>SUM(B5:O5)</f>
        <v>0</v>
      </c>
      <c r="Q5" s="89"/>
      <c r="R5" s="98"/>
    </row>
    <row r="6" spans="1:20" ht="17.7" x14ac:dyDescent="0.55000000000000004">
      <c r="A6" s="83" t="s">
        <v>250</v>
      </c>
      <c r="B6" s="91">
        <f>1436+2425+622+200+263</f>
        <v>4946</v>
      </c>
      <c r="C6" s="91"/>
      <c r="D6" s="91"/>
      <c r="E6" s="91"/>
      <c r="F6" s="91"/>
      <c r="G6" s="91">
        <v>300</v>
      </c>
      <c r="H6" s="91"/>
      <c r="I6" s="91">
        <v>4341.4799999999996</v>
      </c>
      <c r="J6" s="91"/>
      <c r="K6" s="91"/>
      <c r="L6" s="91"/>
      <c r="M6" s="91"/>
      <c r="N6" s="91"/>
      <c r="O6" s="91">
        <v>485</v>
      </c>
      <c r="P6" s="91">
        <f>SUM(B6:O6)</f>
        <v>10072.48</v>
      </c>
      <c r="Q6" s="92"/>
      <c r="R6" s="89"/>
    </row>
    <row r="7" spans="1:20" ht="17.350000000000001" x14ac:dyDescent="0.5">
      <c r="A7" s="83" t="s">
        <v>44</v>
      </c>
      <c r="B7" s="89">
        <f t="shared" ref="B7:L7" si="0">SUM(B3:B6)</f>
        <v>8532.7000000000007</v>
      </c>
      <c r="C7" s="89">
        <f t="shared" si="0"/>
        <v>3586.7</v>
      </c>
      <c r="D7" s="89">
        <f t="shared" si="0"/>
        <v>3586.7</v>
      </c>
      <c r="E7" s="89"/>
      <c r="F7" s="89">
        <f t="shared" si="0"/>
        <v>3586.7</v>
      </c>
      <c r="G7" s="89">
        <f t="shared" si="0"/>
        <v>3886.7</v>
      </c>
      <c r="H7" s="89">
        <f t="shared" si="0"/>
        <v>3586.7</v>
      </c>
      <c r="I7" s="89">
        <f t="shared" si="0"/>
        <v>7928.1799999999994</v>
      </c>
      <c r="J7" s="89">
        <f t="shared" si="0"/>
        <v>3586.7</v>
      </c>
      <c r="K7" s="89">
        <f t="shared" si="0"/>
        <v>3586.7</v>
      </c>
      <c r="L7" s="89">
        <f t="shared" si="0"/>
        <v>3586.7</v>
      </c>
      <c r="M7" s="89">
        <f>SUM(M3:M6)</f>
        <v>3586.7</v>
      </c>
      <c r="N7" s="89"/>
      <c r="O7" s="89">
        <f>SUM(O3:O6)</f>
        <v>4071.7</v>
      </c>
      <c r="P7" s="89">
        <f>SUM(B7:O7)</f>
        <v>53112.87999999999</v>
      </c>
      <c r="Q7" s="89">
        <f>SUM(Q3:Q6)</f>
        <v>0</v>
      </c>
      <c r="R7" s="89">
        <f>SUM(R4:R6)</f>
        <v>0</v>
      </c>
    </row>
    <row r="8" spans="1:20" ht="17.350000000000001" x14ac:dyDescent="0.5">
      <c r="A8" s="83"/>
      <c r="B8" s="116"/>
      <c r="C8" s="89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86"/>
      <c r="R8" s="83"/>
    </row>
    <row r="9" spans="1:20" ht="17.7" x14ac:dyDescent="0.55000000000000004">
      <c r="A9" s="82" t="s">
        <v>128</v>
      </c>
      <c r="B9" s="116"/>
      <c r="C9" s="89"/>
      <c r="D9" s="116"/>
      <c r="E9" s="116"/>
      <c r="F9" s="116"/>
      <c r="G9" s="116"/>
      <c r="H9" s="116"/>
      <c r="I9" s="116"/>
      <c r="J9" s="116"/>
      <c r="K9" s="116"/>
      <c r="L9" s="116"/>
      <c r="M9" s="116"/>
      <c r="N9" s="116"/>
      <c r="O9" s="117"/>
      <c r="P9" s="116"/>
      <c r="Q9" s="86"/>
      <c r="R9" s="83"/>
    </row>
    <row r="10" spans="1:20" ht="15.75" customHeight="1" x14ac:dyDescent="0.5">
      <c r="A10" s="83" t="s">
        <v>352</v>
      </c>
      <c r="B10" s="89">
        <v>261</v>
      </c>
      <c r="C10" s="89">
        <v>261</v>
      </c>
      <c r="D10" s="89">
        <v>261</v>
      </c>
      <c r="E10" s="89"/>
      <c r="F10" s="89">
        <v>261</v>
      </c>
      <c r="G10" s="89">
        <v>261</v>
      </c>
      <c r="H10" s="89">
        <v>261</v>
      </c>
      <c r="I10" s="89"/>
      <c r="J10" s="89"/>
      <c r="K10" s="89"/>
      <c r="L10" s="89"/>
      <c r="M10" s="89"/>
      <c r="N10" s="89"/>
      <c r="O10" s="89"/>
      <c r="P10" s="89">
        <f>SUM(B10:O10)</f>
        <v>1566</v>
      </c>
      <c r="Q10" s="89"/>
      <c r="R10" s="89"/>
    </row>
    <row r="11" spans="1:20" ht="17.7" x14ac:dyDescent="0.55000000000000004">
      <c r="A11" s="83" t="s">
        <v>353</v>
      </c>
      <c r="B11" s="89">
        <f>715.74+4.41+715.74</f>
        <v>1435.8899999999999</v>
      </c>
      <c r="C11" s="89"/>
      <c r="D11" s="89"/>
      <c r="E11" s="89"/>
      <c r="F11" s="89"/>
      <c r="G11" s="89"/>
      <c r="H11" s="92"/>
      <c r="I11" s="89">
        <v>1431.48</v>
      </c>
      <c r="J11"/>
      <c r="K11" s="89"/>
      <c r="L11" s="89"/>
      <c r="M11" s="89"/>
      <c r="N11" s="89"/>
      <c r="O11" s="89"/>
      <c r="P11" s="89">
        <f>SUM(B11:O11)</f>
        <v>2867.37</v>
      </c>
      <c r="Q11" s="92"/>
      <c r="R11" s="89"/>
    </row>
    <row r="12" spans="1:20" ht="17.350000000000001" x14ac:dyDescent="0.5">
      <c r="A12" s="83" t="s">
        <v>336</v>
      </c>
      <c r="B12" s="89">
        <v>285</v>
      </c>
      <c r="C12" s="89">
        <v>285</v>
      </c>
      <c r="D12" s="89">
        <v>285</v>
      </c>
      <c r="E12" s="89"/>
      <c r="F12" s="89">
        <v>285</v>
      </c>
      <c r="G12" s="89">
        <v>285</v>
      </c>
      <c r="H12" s="89">
        <v>285</v>
      </c>
      <c r="I12" s="89">
        <v>285</v>
      </c>
      <c r="J12" s="89">
        <v>285</v>
      </c>
      <c r="K12" s="89">
        <v>285</v>
      </c>
      <c r="L12" s="89">
        <v>285</v>
      </c>
      <c r="M12" s="89">
        <v>285</v>
      </c>
      <c r="N12" s="89"/>
      <c r="O12" s="89">
        <v>285</v>
      </c>
      <c r="P12" s="89">
        <f>SUM(B12:O12)</f>
        <v>3420</v>
      </c>
      <c r="Q12" s="133"/>
      <c r="R12" s="89"/>
    </row>
    <row r="13" spans="1:20" ht="17.7" x14ac:dyDescent="0.55000000000000004">
      <c r="A13" s="83" t="s">
        <v>325</v>
      </c>
      <c r="B13" s="89">
        <v>53</v>
      </c>
      <c r="C13" s="89">
        <v>120</v>
      </c>
      <c r="D13" s="89">
        <v>53</v>
      </c>
      <c r="E13" s="89"/>
      <c r="F13" s="89">
        <v>53</v>
      </c>
      <c r="G13" s="89">
        <v>53</v>
      </c>
      <c r="H13" s="89">
        <v>53</v>
      </c>
      <c r="I13" s="89">
        <v>53</v>
      </c>
      <c r="J13" s="89">
        <v>53</v>
      </c>
      <c r="K13" s="89">
        <v>53</v>
      </c>
      <c r="L13" s="89">
        <v>53</v>
      </c>
      <c r="M13" s="89">
        <v>53</v>
      </c>
      <c r="N13" s="89"/>
      <c r="O13" s="89">
        <v>53</v>
      </c>
      <c r="P13" s="89">
        <f>SUM(B13:O13)</f>
        <v>703</v>
      </c>
      <c r="Q13" s="92"/>
      <c r="R13" s="89"/>
    </row>
    <row r="14" spans="1:20" ht="20.350000000000001" customHeight="1" x14ac:dyDescent="0.55000000000000004">
      <c r="A14" s="83" t="s">
        <v>343</v>
      </c>
      <c r="B14" s="89">
        <f>450+622</f>
        <v>1072</v>
      </c>
      <c r="C14" s="89">
        <v>425</v>
      </c>
      <c r="D14" s="89">
        <v>425</v>
      </c>
      <c r="E14" s="89"/>
      <c r="F14" s="89">
        <v>400</v>
      </c>
      <c r="G14" s="89">
        <v>450</v>
      </c>
      <c r="H14" s="89">
        <v>450</v>
      </c>
      <c r="I14" s="89">
        <v>450</v>
      </c>
      <c r="J14" s="89">
        <v>450</v>
      </c>
      <c r="K14" s="89">
        <v>450</v>
      </c>
      <c r="L14" s="89">
        <v>450</v>
      </c>
      <c r="M14" s="89">
        <v>450</v>
      </c>
      <c r="N14" s="89"/>
      <c r="O14" s="89">
        <v>450</v>
      </c>
      <c r="P14" s="89">
        <f>SUM(B14:O14)</f>
        <v>5922</v>
      </c>
      <c r="Q14" s="89"/>
      <c r="R14" s="92"/>
      <c r="T14" s="44"/>
    </row>
    <row r="15" spans="1:20" ht="20.350000000000001" customHeight="1" x14ac:dyDescent="0.55000000000000004">
      <c r="A15" s="83" t="s">
        <v>327</v>
      </c>
      <c r="B15" s="89">
        <v>70</v>
      </c>
      <c r="C15" s="89">
        <v>70</v>
      </c>
      <c r="D15" s="89">
        <v>70</v>
      </c>
      <c r="E15" s="89"/>
      <c r="F15" s="89">
        <v>70</v>
      </c>
      <c r="G15" s="89">
        <v>295</v>
      </c>
      <c r="H15" s="89">
        <v>200</v>
      </c>
      <c r="I15" s="89">
        <v>200</v>
      </c>
      <c r="J15" s="89">
        <v>70</v>
      </c>
      <c r="K15" s="89">
        <v>70</v>
      </c>
      <c r="L15" s="89">
        <v>70</v>
      </c>
      <c r="M15" s="89">
        <v>70</v>
      </c>
      <c r="N15" s="89"/>
      <c r="O15" s="89">
        <v>70</v>
      </c>
      <c r="P15" s="89">
        <f>SUM(B15:O15)</f>
        <v>1325</v>
      </c>
      <c r="Q15" s="92"/>
      <c r="R15" s="92"/>
    </row>
    <row r="16" spans="1:20" ht="20.350000000000001" customHeight="1" x14ac:dyDescent="0.55000000000000004">
      <c r="A16" s="83" t="s">
        <v>348</v>
      </c>
      <c r="B16" s="89">
        <v>2425</v>
      </c>
      <c r="C16" s="89"/>
      <c r="D16" s="89"/>
      <c r="E16" s="89"/>
      <c r="F16" s="89"/>
      <c r="G16" s="89"/>
      <c r="H16" s="89"/>
      <c r="I16" s="89">
        <v>2910</v>
      </c>
      <c r="J16" s="89"/>
      <c r="K16" s="89"/>
      <c r="L16" s="89"/>
      <c r="M16" s="89"/>
      <c r="N16" s="89"/>
      <c r="O16" s="89"/>
      <c r="P16" s="89">
        <f>SUM(B16:O16)</f>
        <v>5335</v>
      </c>
      <c r="Q16" s="92"/>
      <c r="R16" s="92"/>
    </row>
    <row r="17" spans="1:22" ht="19.7" customHeight="1" x14ac:dyDescent="0.55000000000000004">
      <c r="A17" s="83" t="s">
        <v>340</v>
      </c>
      <c r="B17" s="89"/>
      <c r="C17" s="89"/>
      <c r="D17" s="89"/>
      <c r="E17" s="89"/>
      <c r="F17" s="89"/>
      <c r="G17" s="89">
        <v>450</v>
      </c>
      <c r="H17" s="89"/>
      <c r="I17" s="89"/>
      <c r="J17" s="89"/>
      <c r="K17" s="89"/>
      <c r="L17" s="89"/>
      <c r="M17" s="89"/>
      <c r="N17" s="89"/>
      <c r="O17" s="89">
        <v>450</v>
      </c>
      <c r="P17" s="89">
        <f>SUM(B17:O17)</f>
        <v>900</v>
      </c>
      <c r="Q17" s="89"/>
      <c r="R17" s="92"/>
    </row>
    <row r="18" spans="1:22" ht="19.7" customHeight="1" x14ac:dyDescent="0.5">
      <c r="A18" s="83" t="s">
        <v>339</v>
      </c>
      <c r="B18" s="89"/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/>
      <c r="N18" s="89"/>
      <c r="O18" s="89">
        <v>3300</v>
      </c>
      <c r="P18" s="89"/>
      <c r="Q18" s="89"/>
      <c r="R18" s="89"/>
    </row>
    <row r="19" spans="1:22" ht="17.7" x14ac:dyDescent="0.55000000000000004">
      <c r="A19" s="83" t="s">
        <v>344</v>
      </c>
      <c r="B19" s="89">
        <v>60</v>
      </c>
      <c r="C19" s="89">
        <v>93</v>
      </c>
      <c r="D19" s="89">
        <v>130</v>
      </c>
      <c r="E19" s="89"/>
      <c r="F19" s="89">
        <v>130</v>
      </c>
      <c r="G19" s="89">
        <v>123</v>
      </c>
      <c r="H19" s="89">
        <v>150</v>
      </c>
      <c r="I19" s="89">
        <v>150</v>
      </c>
      <c r="J19" s="89">
        <v>150</v>
      </c>
      <c r="K19" s="89">
        <v>150</v>
      </c>
      <c r="L19" s="89">
        <v>182</v>
      </c>
      <c r="M19" s="89">
        <v>170</v>
      </c>
      <c r="N19" s="89"/>
      <c r="O19" s="89">
        <v>158</v>
      </c>
      <c r="P19" s="89">
        <f>SUM(B19:O19)</f>
        <v>1646</v>
      </c>
      <c r="Q19" s="92"/>
      <c r="R19" s="118"/>
    </row>
    <row r="20" spans="1:22" ht="18.350000000000001" customHeight="1" x14ac:dyDescent="0.55000000000000004">
      <c r="A20" s="83" t="s">
        <v>183</v>
      </c>
      <c r="B20" s="114">
        <v>416</v>
      </c>
      <c r="C20" s="114">
        <v>441</v>
      </c>
      <c r="D20" s="114">
        <v>441</v>
      </c>
      <c r="E20" s="114"/>
      <c r="F20" s="114">
        <v>441</v>
      </c>
      <c r="G20" s="114">
        <v>441</v>
      </c>
      <c r="H20" s="114">
        <v>441</v>
      </c>
      <c r="I20" s="114">
        <v>441</v>
      </c>
      <c r="J20" s="114">
        <v>441</v>
      </c>
      <c r="K20" s="114">
        <v>441</v>
      </c>
      <c r="L20" s="114">
        <v>441</v>
      </c>
      <c r="M20" s="114">
        <v>441</v>
      </c>
      <c r="N20" s="114"/>
      <c r="O20" s="114">
        <v>441</v>
      </c>
      <c r="P20" s="114">
        <f>SUM(B20:O20)</f>
        <v>5267</v>
      </c>
      <c r="Q20" s="123"/>
      <c r="R20" s="114"/>
    </row>
    <row r="21" spans="1:22" ht="17.350000000000001" x14ac:dyDescent="0.5">
      <c r="A21" s="83" t="s">
        <v>310</v>
      </c>
      <c r="B21" s="89">
        <v>64</v>
      </c>
      <c r="C21" s="89">
        <v>64</v>
      </c>
      <c r="D21" s="89">
        <v>64</v>
      </c>
      <c r="E21" s="89"/>
      <c r="F21" s="89">
        <v>64</v>
      </c>
      <c r="G21" s="89">
        <v>64</v>
      </c>
      <c r="H21" s="89">
        <v>64</v>
      </c>
      <c r="I21" s="89">
        <v>64</v>
      </c>
      <c r="J21" s="89">
        <v>64</v>
      </c>
      <c r="K21" s="89">
        <v>64</v>
      </c>
      <c r="L21" s="89">
        <v>64</v>
      </c>
      <c r="M21" s="89">
        <v>64</v>
      </c>
      <c r="N21" s="89"/>
      <c r="O21" s="89">
        <v>64</v>
      </c>
      <c r="P21" s="89">
        <f>SUM(B21:O21)</f>
        <v>768</v>
      </c>
      <c r="Q21" s="89"/>
      <c r="R21" s="89"/>
    </row>
    <row r="22" spans="1:22" ht="20.7" customHeight="1" x14ac:dyDescent="0.55000000000000004">
      <c r="A22" s="83" t="s">
        <v>351</v>
      </c>
      <c r="B22" s="89">
        <v>70</v>
      </c>
      <c r="C22" s="89">
        <v>70</v>
      </c>
      <c r="D22" s="89">
        <v>70</v>
      </c>
      <c r="E22" s="89"/>
      <c r="F22" s="89">
        <v>70</v>
      </c>
      <c r="G22" s="89">
        <v>70</v>
      </c>
      <c r="H22" s="89">
        <v>70</v>
      </c>
      <c r="I22" s="89">
        <v>70</v>
      </c>
      <c r="J22" s="89">
        <v>70</v>
      </c>
      <c r="K22" s="89">
        <v>70</v>
      </c>
      <c r="L22" s="89">
        <v>70</v>
      </c>
      <c r="M22" s="89">
        <v>70</v>
      </c>
      <c r="N22" s="89"/>
      <c r="O22" s="89">
        <v>70</v>
      </c>
      <c r="P22" s="89">
        <f>SUM(B22:O22)</f>
        <v>840</v>
      </c>
      <c r="Q22" s="92"/>
      <c r="R22" s="89"/>
    </row>
    <row r="23" spans="1:22" ht="20.7" customHeight="1" x14ac:dyDescent="0.55000000000000004">
      <c r="A23" s="83" t="s">
        <v>342</v>
      </c>
      <c r="B23" s="89">
        <v>360</v>
      </c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92"/>
      <c r="R23" s="89"/>
    </row>
    <row r="24" spans="1:22" ht="17.350000000000001" x14ac:dyDescent="0.5">
      <c r="A24" s="83" t="s">
        <v>278</v>
      </c>
      <c r="B24" s="89">
        <v>96.52</v>
      </c>
      <c r="C24" s="93">
        <v>132</v>
      </c>
      <c r="D24" s="89">
        <v>100</v>
      </c>
      <c r="E24" s="89"/>
      <c r="F24" s="89">
        <v>67.63</v>
      </c>
      <c r="G24" s="89">
        <v>46</v>
      </c>
      <c r="H24" s="89">
        <v>93</v>
      </c>
      <c r="I24" s="89">
        <v>95.25</v>
      </c>
      <c r="J24" s="89">
        <v>214.96</v>
      </c>
      <c r="K24" s="89">
        <v>215</v>
      </c>
      <c r="L24" s="89">
        <v>140</v>
      </c>
      <c r="M24" s="89">
        <v>50</v>
      </c>
      <c r="N24" s="89"/>
      <c r="O24" s="89">
        <v>83.84</v>
      </c>
      <c r="P24" s="89">
        <f>SUM(B24:O24)</f>
        <v>1334.2</v>
      </c>
      <c r="Q24" s="89"/>
      <c r="R24" s="89"/>
    </row>
    <row r="25" spans="1:22" ht="17.350000000000001" x14ac:dyDescent="0.5">
      <c r="A25" s="83" t="s">
        <v>337</v>
      </c>
      <c r="B25" s="89">
        <v>186</v>
      </c>
      <c r="C25" s="89"/>
      <c r="D25" s="89"/>
      <c r="E25" s="89"/>
      <c r="F25" s="89"/>
      <c r="G25" s="89">
        <v>0</v>
      </c>
      <c r="H25" s="89"/>
      <c r="I25" s="89">
        <v>200</v>
      </c>
      <c r="J25" s="89">
        <v>200</v>
      </c>
      <c r="K25" s="89">
        <v>200</v>
      </c>
      <c r="L25" s="89">
        <v>200</v>
      </c>
      <c r="M25" s="89">
        <v>200</v>
      </c>
      <c r="N25" s="89"/>
      <c r="O25" s="89">
        <v>200</v>
      </c>
      <c r="P25" s="89">
        <f>SUM(B25:O25)</f>
        <v>1386</v>
      </c>
      <c r="Q25" s="89"/>
      <c r="R25" s="89"/>
    </row>
    <row r="26" spans="1:22" ht="17.7" x14ac:dyDescent="0.55000000000000004">
      <c r="A26" s="83" t="s">
        <v>240</v>
      </c>
      <c r="B26" s="92"/>
      <c r="C26" s="89"/>
      <c r="D26" s="89"/>
      <c r="E26" s="89"/>
      <c r="F26" s="89"/>
      <c r="G26" s="92">
        <v>0</v>
      </c>
      <c r="H26" s="89"/>
      <c r="I26" s="89">
        <v>50</v>
      </c>
      <c r="J26" s="89">
        <v>50</v>
      </c>
      <c r="K26" s="89">
        <v>50</v>
      </c>
      <c r="L26" s="89">
        <v>50</v>
      </c>
      <c r="M26" s="89">
        <v>34</v>
      </c>
      <c r="N26" s="89"/>
      <c r="O26" s="89"/>
      <c r="P26" s="89">
        <f>SUM(B26:O26)</f>
        <v>234</v>
      </c>
      <c r="Q26" s="89"/>
      <c r="R26" s="92"/>
    </row>
    <row r="27" spans="1:22" ht="17.7" x14ac:dyDescent="0.55000000000000004">
      <c r="A27" s="83" t="s">
        <v>265</v>
      </c>
      <c r="B27" s="89"/>
      <c r="C27" s="89"/>
      <c r="D27" s="89"/>
      <c r="E27" s="89"/>
      <c r="F27" s="89"/>
      <c r="G27" s="92"/>
      <c r="H27" s="89"/>
      <c r="I27" s="89"/>
      <c r="J27" s="89"/>
      <c r="K27" s="89"/>
      <c r="L27" s="92"/>
      <c r="M27" s="89"/>
      <c r="N27" s="89"/>
      <c r="O27" s="89"/>
      <c r="P27" s="89">
        <f>SUM(B27:O27)</f>
        <v>0</v>
      </c>
      <c r="Q27" s="89"/>
      <c r="R27" s="92"/>
    </row>
    <row r="28" spans="1:22" ht="17.7" x14ac:dyDescent="0.55000000000000004">
      <c r="A28" s="83" t="s">
        <v>275</v>
      </c>
      <c r="B28" s="89">
        <v>224</v>
      </c>
      <c r="C28" s="89">
        <v>224</v>
      </c>
      <c r="D28" s="89">
        <v>225.24</v>
      </c>
      <c r="E28" s="89"/>
      <c r="F28" s="89">
        <v>224</v>
      </c>
      <c r="G28" s="89">
        <v>224</v>
      </c>
      <c r="H28" s="89">
        <v>224</v>
      </c>
      <c r="I28" s="89">
        <v>224</v>
      </c>
      <c r="J28" s="89">
        <v>224</v>
      </c>
      <c r="K28" s="89">
        <v>224</v>
      </c>
      <c r="L28" s="89">
        <v>224</v>
      </c>
      <c r="M28" s="89">
        <v>224</v>
      </c>
      <c r="N28" s="89"/>
      <c r="O28" s="89">
        <v>224</v>
      </c>
      <c r="P28" s="89">
        <f>SUM(B28:O28)</f>
        <v>2689.24</v>
      </c>
      <c r="Q28" s="92"/>
      <c r="R28" s="92"/>
      <c r="S28" s="74"/>
      <c r="V28" s="74"/>
    </row>
    <row r="29" spans="1:22" ht="17.350000000000001" x14ac:dyDescent="0.5">
      <c r="A29" s="83" t="s">
        <v>236</v>
      </c>
      <c r="B29" s="89">
        <v>78</v>
      </c>
      <c r="C29" s="89">
        <v>78</v>
      </c>
      <c r="D29" s="89">
        <v>78</v>
      </c>
      <c r="E29" s="89"/>
      <c r="F29" s="89">
        <v>78</v>
      </c>
      <c r="G29" s="89">
        <v>78</v>
      </c>
      <c r="H29" s="89">
        <v>78</v>
      </c>
      <c r="I29" s="89">
        <v>78</v>
      </c>
      <c r="J29" s="89">
        <v>78</v>
      </c>
      <c r="K29" s="89">
        <v>78</v>
      </c>
      <c r="L29" s="89">
        <v>78</v>
      </c>
      <c r="M29" s="89">
        <v>78</v>
      </c>
      <c r="N29" s="89"/>
      <c r="O29" s="89">
        <v>78</v>
      </c>
      <c r="P29" s="89">
        <f>SUM(B29:O29)</f>
        <v>936</v>
      </c>
      <c r="Q29" s="89"/>
      <c r="R29" s="89"/>
      <c r="S29" s="74"/>
    </row>
    <row r="30" spans="1:22" ht="17.350000000000001" x14ac:dyDescent="0.5">
      <c r="A30" s="83" t="s">
        <v>178</v>
      </c>
      <c r="B30" s="89">
        <v>263</v>
      </c>
      <c r="C30" s="89"/>
      <c r="D30" s="89"/>
      <c r="E30" s="89"/>
      <c r="F30" s="89"/>
      <c r="G30" s="89">
        <v>0</v>
      </c>
      <c r="H30" s="89"/>
      <c r="I30" s="89">
        <v>119</v>
      </c>
      <c r="J30" s="89"/>
      <c r="K30" s="89">
        <v>163.24</v>
      </c>
      <c r="L30" s="89"/>
      <c r="M30" s="89"/>
      <c r="N30" s="89"/>
      <c r="O30" s="89"/>
      <c r="P30" s="89">
        <f>SUM(B30:O30)</f>
        <v>545.24</v>
      </c>
      <c r="Q30" s="89"/>
      <c r="R30" s="89"/>
    </row>
    <row r="31" spans="1:22" ht="17.7" x14ac:dyDescent="0.55000000000000004">
      <c r="A31" s="83" t="s">
        <v>29</v>
      </c>
      <c r="B31" s="91">
        <f>590+200</f>
        <v>790</v>
      </c>
      <c r="C31" s="91">
        <v>590</v>
      </c>
      <c r="D31" s="91">
        <v>590</v>
      </c>
      <c r="E31" s="91"/>
      <c r="F31" s="91">
        <v>590</v>
      </c>
      <c r="G31" s="91">
        <v>590</v>
      </c>
      <c r="H31" s="91">
        <v>590</v>
      </c>
      <c r="I31" s="91">
        <v>590</v>
      </c>
      <c r="J31" s="91">
        <v>590</v>
      </c>
      <c r="K31" s="91">
        <v>590</v>
      </c>
      <c r="L31" s="91">
        <v>590</v>
      </c>
      <c r="M31" s="91">
        <v>590</v>
      </c>
      <c r="N31" s="91"/>
      <c r="O31" s="91">
        <v>590</v>
      </c>
      <c r="P31" s="91">
        <f>SUM(B31:O31)</f>
        <v>7280</v>
      </c>
      <c r="Q31" s="92"/>
      <c r="R31" s="91"/>
    </row>
    <row r="32" spans="1:22" s="104" customFormat="1" ht="17.7" x14ac:dyDescent="0.55000000000000004">
      <c r="A32" s="92"/>
      <c r="B32" s="89">
        <f t="shared" ref="B32:M32" si="1">SUM(B10:B31)</f>
        <v>8209.41</v>
      </c>
      <c r="C32" s="89">
        <f t="shared" si="1"/>
        <v>2853</v>
      </c>
      <c r="D32" s="89">
        <f t="shared" si="1"/>
        <v>2792.24</v>
      </c>
      <c r="E32" s="89"/>
      <c r="F32" s="89">
        <f t="shared" si="1"/>
        <v>2733.63</v>
      </c>
      <c r="G32" s="89">
        <f t="shared" si="1"/>
        <v>3430</v>
      </c>
      <c r="H32" s="89">
        <f t="shared" si="1"/>
        <v>2959</v>
      </c>
      <c r="I32" s="89">
        <f t="shared" si="1"/>
        <v>7410.73</v>
      </c>
      <c r="J32" s="89">
        <f t="shared" si="1"/>
        <v>2939.96</v>
      </c>
      <c r="K32" s="89">
        <f t="shared" si="1"/>
        <v>3103.24</v>
      </c>
      <c r="L32" s="89">
        <f t="shared" si="1"/>
        <v>2897</v>
      </c>
      <c r="M32" s="89">
        <f t="shared" si="1"/>
        <v>2779</v>
      </c>
      <c r="N32" s="89"/>
      <c r="O32" s="89">
        <f>SUM(O10:O31)</f>
        <v>6516.84</v>
      </c>
      <c r="P32" s="89">
        <f>SUM(P10:P31)</f>
        <v>44964.049999999996</v>
      </c>
      <c r="Q32" s="89"/>
      <c r="R32" s="89">
        <f>SUM(R10:R31)</f>
        <v>0</v>
      </c>
      <c r="S32" s="104">
        <f>R7-R32</f>
        <v>0</v>
      </c>
    </row>
    <row r="33" spans="1:20" ht="17.7" x14ac:dyDescent="0.55000000000000004">
      <c r="A33" s="83" t="s">
        <v>129</v>
      </c>
      <c r="B33" s="89"/>
      <c r="C33" s="89"/>
      <c r="D33" s="89"/>
      <c r="E33" s="89"/>
      <c r="F33" s="89"/>
      <c r="G33" s="89"/>
      <c r="H33" s="92"/>
      <c r="I33" s="92"/>
      <c r="J33" s="92"/>
      <c r="K33" s="92"/>
      <c r="L33" s="92"/>
      <c r="M33" s="92"/>
      <c r="N33" s="92"/>
      <c r="O33" s="92"/>
      <c r="P33" s="89"/>
      <c r="Q33" s="83"/>
      <c r="R33" s="82"/>
    </row>
    <row r="34" spans="1:20" ht="17.350000000000001" x14ac:dyDescent="0.5">
      <c r="A34" s="83" t="s">
        <v>87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89">
        <f>SUM(B34:O34)</f>
        <v>0</v>
      </c>
      <c r="Q34" s="89"/>
      <c r="R34" s="93"/>
    </row>
    <row r="35" spans="1:20" ht="17.350000000000001" x14ac:dyDescent="0.5">
      <c r="A35" s="83" t="s">
        <v>33</v>
      </c>
      <c r="B35" s="93">
        <v>200</v>
      </c>
      <c r="C35" s="93">
        <v>200</v>
      </c>
      <c r="D35" s="93">
        <v>300</v>
      </c>
      <c r="E35" s="93"/>
      <c r="F35" s="93">
        <v>300</v>
      </c>
      <c r="G35" s="93">
        <v>300</v>
      </c>
      <c r="H35" s="93">
        <v>300</v>
      </c>
      <c r="I35" s="93">
        <v>300</v>
      </c>
      <c r="J35" s="93">
        <v>100</v>
      </c>
      <c r="K35" s="93">
        <v>300</v>
      </c>
      <c r="L35" s="93">
        <v>250</v>
      </c>
      <c r="M35" s="93">
        <v>250</v>
      </c>
      <c r="N35" s="93"/>
      <c r="O35" s="93">
        <v>250</v>
      </c>
      <c r="P35" s="89">
        <f>SUM(B35:O35)</f>
        <v>3050</v>
      </c>
      <c r="Q35" s="89"/>
      <c r="R35" s="95"/>
      <c r="T35" s="74"/>
    </row>
    <row r="36" spans="1:20" ht="17.350000000000001" x14ac:dyDescent="0.5">
      <c r="A36" s="83" t="s">
        <v>34</v>
      </c>
      <c r="B36" s="96">
        <v>120</v>
      </c>
      <c r="C36" s="96">
        <v>120</v>
      </c>
      <c r="D36" s="96">
        <v>120</v>
      </c>
      <c r="E36" s="96"/>
      <c r="F36" s="96">
        <v>120</v>
      </c>
      <c r="G36" s="91">
        <v>120</v>
      </c>
      <c r="H36" s="91">
        <v>120</v>
      </c>
      <c r="I36" s="91">
        <v>75</v>
      </c>
      <c r="J36" s="91">
        <v>120</v>
      </c>
      <c r="K36" s="91">
        <v>120</v>
      </c>
      <c r="L36" s="91">
        <v>120</v>
      </c>
      <c r="M36" s="91">
        <v>120</v>
      </c>
      <c r="N36" s="91"/>
      <c r="O36" s="91">
        <v>120</v>
      </c>
      <c r="P36" s="91">
        <f>SUM(B36:O36)</f>
        <v>1395</v>
      </c>
      <c r="Q36" s="89"/>
      <c r="R36" s="90"/>
    </row>
    <row r="37" spans="1:20" s="115" customFormat="1" ht="17.350000000000001" x14ac:dyDescent="0.5">
      <c r="A37" s="94"/>
      <c r="B37" s="89">
        <f>SUM(B34:B36)</f>
        <v>320</v>
      </c>
      <c r="C37" s="89">
        <f t="shared" ref="C37:O37" si="2">SUM(C34:C36)</f>
        <v>320</v>
      </c>
      <c r="D37" s="89">
        <f t="shared" si="2"/>
        <v>420</v>
      </c>
      <c r="E37" s="89"/>
      <c r="F37" s="89">
        <f t="shared" si="2"/>
        <v>420</v>
      </c>
      <c r="G37" s="89">
        <f t="shared" si="2"/>
        <v>420</v>
      </c>
      <c r="H37" s="89">
        <f t="shared" si="2"/>
        <v>420</v>
      </c>
      <c r="I37" s="89">
        <f t="shared" si="2"/>
        <v>375</v>
      </c>
      <c r="J37" s="89">
        <f t="shared" si="2"/>
        <v>220</v>
      </c>
      <c r="K37" s="89">
        <f t="shared" si="2"/>
        <v>420</v>
      </c>
      <c r="L37" s="89">
        <f t="shared" si="2"/>
        <v>370</v>
      </c>
      <c r="M37" s="89">
        <f t="shared" si="2"/>
        <v>370</v>
      </c>
      <c r="N37" s="89"/>
      <c r="O37" s="89">
        <f t="shared" si="2"/>
        <v>370</v>
      </c>
      <c r="P37" s="89">
        <f>P32+SUM(P34:P36)</f>
        <v>49409.049999999996</v>
      </c>
      <c r="Q37" s="94"/>
      <c r="R37" s="94">
        <f>SUM(R34:R36)</f>
        <v>0</v>
      </c>
    </row>
    <row r="38" spans="1:20" ht="17.350000000000001" x14ac:dyDescent="0.5">
      <c r="A38" s="83" t="s">
        <v>130</v>
      </c>
      <c r="B38" s="89">
        <f>B32+B37</f>
        <v>8529.41</v>
      </c>
      <c r="C38" s="89">
        <f t="shared" ref="C38:O38" si="3">C32+C37</f>
        <v>3173</v>
      </c>
      <c r="D38" s="89">
        <f t="shared" si="3"/>
        <v>3212.24</v>
      </c>
      <c r="E38" s="89"/>
      <c r="F38" s="89">
        <f t="shared" si="3"/>
        <v>3153.63</v>
      </c>
      <c r="G38" s="89">
        <f t="shared" si="3"/>
        <v>3850</v>
      </c>
      <c r="H38" s="89">
        <f t="shared" si="3"/>
        <v>3379</v>
      </c>
      <c r="I38" s="89">
        <f t="shared" si="3"/>
        <v>7785.73</v>
      </c>
      <c r="J38" s="89">
        <f t="shared" si="3"/>
        <v>3159.96</v>
      </c>
      <c r="K38" s="89">
        <f t="shared" si="3"/>
        <v>3523.24</v>
      </c>
      <c r="L38" s="89">
        <f t="shared" si="3"/>
        <v>3267</v>
      </c>
      <c r="M38" s="89">
        <f t="shared" si="3"/>
        <v>3149</v>
      </c>
      <c r="N38" s="89"/>
      <c r="O38" s="89">
        <f t="shared" si="3"/>
        <v>6886.84</v>
      </c>
      <c r="P38" s="89">
        <f>SUM(B38:O38)</f>
        <v>53069.049999999988</v>
      </c>
      <c r="Q38" s="89"/>
      <c r="R38" s="88"/>
      <c r="T38" s="74"/>
    </row>
    <row r="39" spans="1:20" ht="17.7" x14ac:dyDescent="0.55000000000000004">
      <c r="A39" s="82" t="s">
        <v>338</v>
      </c>
      <c r="B39" s="89">
        <f t="shared" ref="B39:M39" si="4">B7-B38</f>
        <v>3.2900000000008731</v>
      </c>
      <c r="C39" s="89">
        <f t="shared" si="4"/>
        <v>413.69999999999982</v>
      </c>
      <c r="D39" s="89">
        <f t="shared" si="4"/>
        <v>374.46000000000004</v>
      </c>
      <c r="E39" s="89"/>
      <c r="F39" s="89">
        <f t="shared" si="4"/>
        <v>433.06999999999971</v>
      </c>
      <c r="G39" s="89">
        <f t="shared" si="4"/>
        <v>36.699999999999818</v>
      </c>
      <c r="H39" s="89">
        <f t="shared" si="4"/>
        <v>207.69999999999982</v>
      </c>
      <c r="I39" s="89">
        <f t="shared" si="4"/>
        <v>142.44999999999982</v>
      </c>
      <c r="J39" s="89">
        <f t="shared" si="4"/>
        <v>426.73999999999978</v>
      </c>
      <c r="K39" s="89">
        <f t="shared" si="4"/>
        <v>63.460000000000036</v>
      </c>
      <c r="L39" s="89">
        <f t="shared" si="4"/>
        <v>319.69999999999982</v>
      </c>
      <c r="M39" s="89">
        <f t="shared" si="4"/>
        <v>437.69999999999982</v>
      </c>
      <c r="N39" s="89"/>
      <c r="O39" s="89">
        <f>O7-O38</f>
        <v>-2815.1400000000003</v>
      </c>
      <c r="P39" s="89">
        <f>SUM(B39:O39)</f>
        <v>43.829999999999018</v>
      </c>
      <c r="Q39" s="89"/>
      <c r="R39" s="99"/>
      <c r="T39" s="74"/>
    </row>
    <row r="40" spans="1:20" ht="17.7" x14ac:dyDescent="0.55000000000000004">
      <c r="A40" s="82"/>
      <c r="B40" s="89"/>
      <c r="C40" s="89"/>
      <c r="D40" s="89"/>
      <c r="E40" s="89"/>
      <c r="F40" s="89"/>
      <c r="G40" s="89"/>
      <c r="H40" s="89"/>
      <c r="I40" s="92"/>
      <c r="J40" s="89"/>
      <c r="K40" s="89"/>
      <c r="L40" s="89"/>
      <c r="M40" s="89"/>
      <c r="N40" s="89"/>
      <c r="O40" s="89"/>
      <c r="P40" s="89"/>
      <c r="Q40" s="89"/>
      <c r="R40" s="99"/>
      <c r="T40" s="74"/>
    </row>
    <row r="41" spans="1:20" ht="17.7" x14ac:dyDescent="0.55000000000000004">
      <c r="A41" s="82"/>
      <c r="B41" s="8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89"/>
      <c r="Q41" s="89"/>
      <c r="R41" s="99"/>
      <c r="T41" s="74"/>
    </row>
    <row r="42" spans="1:20" ht="17.7" x14ac:dyDescent="0.55000000000000004">
      <c r="A42" s="83"/>
      <c r="B42" s="83"/>
      <c r="C42" s="83"/>
      <c r="D42" s="83"/>
      <c r="E42" s="83"/>
      <c r="F42" s="83"/>
      <c r="G42" s="83"/>
      <c r="H42" s="83"/>
      <c r="I42" s="82"/>
      <c r="J42" s="82"/>
      <c r="K42" s="83"/>
      <c r="L42" s="83"/>
      <c r="M42" s="83"/>
      <c r="N42" s="83"/>
      <c r="O42" s="83"/>
      <c r="P42" s="83"/>
      <c r="Q42" s="83"/>
      <c r="R42" s="88"/>
    </row>
    <row r="43" spans="1:20" ht="17.7" x14ac:dyDescent="0.55000000000000004">
      <c r="A43" s="83" t="s">
        <v>355</v>
      </c>
      <c r="B43" s="83"/>
      <c r="C43" s="99"/>
      <c r="D43" s="98"/>
      <c r="E43" s="98"/>
      <c r="F43" s="83"/>
      <c r="G43" s="83"/>
      <c r="H43" s="98"/>
      <c r="I43" s="83"/>
      <c r="J43" s="83"/>
      <c r="K43" s="100"/>
      <c r="L43" s="82"/>
      <c r="M43" s="83"/>
      <c r="N43" s="83"/>
      <c r="O43" s="83"/>
      <c r="P43" s="83"/>
      <c r="Q43" s="83"/>
      <c r="R43" s="83"/>
    </row>
    <row r="44" spans="1:20" ht="17.350000000000001" x14ac:dyDescent="0.5">
      <c r="A44" s="83" t="s">
        <v>356</v>
      </c>
      <c r="B44" s="83"/>
      <c r="C44" s="83"/>
      <c r="D44" s="83"/>
      <c r="E44" s="83"/>
      <c r="F44" s="83"/>
      <c r="G44" s="83"/>
      <c r="H44" s="83"/>
      <c r="I44" s="83"/>
      <c r="J44" s="83"/>
      <c r="K44" s="99"/>
      <c r="L44" s="83"/>
      <c r="M44" s="83"/>
      <c r="N44" s="83"/>
      <c r="O44" s="83"/>
      <c r="P44" s="83"/>
      <c r="Q44" s="83"/>
      <c r="R44" s="83"/>
      <c r="S44" s="79"/>
    </row>
    <row r="45" spans="1:20" ht="17.7" x14ac:dyDescent="0.55000000000000004">
      <c r="A45" s="83" t="s">
        <v>331</v>
      </c>
      <c r="B45" s="83"/>
      <c r="C45" s="83"/>
      <c r="D45" s="83"/>
      <c r="E45" s="83"/>
      <c r="F45" s="83"/>
      <c r="G45" s="83"/>
      <c r="H45" s="99"/>
      <c r="I45" s="99"/>
      <c r="J45" s="99"/>
      <c r="K45" s="83"/>
      <c r="L45" s="83"/>
      <c r="M45" s="83"/>
      <c r="N45" s="83"/>
      <c r="O45" s="83"/>
      <c r="P45" s="83"/>
      <c r="Q45" s="83"/>
      <c r="R45" s="82"/>
      <c r="S45" s="79"/>
    </row>
    <row r="46" spans="1:20" ht="17.7" x14ac:dyDescent="0.55000000000000004">
      <c r="A46" s="83" t="s">
        <v>332</v>
      </c>
      <c r="B46" s="83"/>
      <c r="C46" s="83"/>
      <c r="D46" s="83"/>
      <c r="E46" s="83"/>
      <c r="F46" s="83"/>
      <c r="G46" s="83"/>
      <c r="H46" s="83"/>
      <c r="I46" s="83"/>
      <c r="J46" s="82"/>
      <c r="K46" s="83"/>
      <c r="L46" s="83"/>
      <c r="M46" s="83"/>
      <c r="N46" s="83"/>
      <c r="O46" s="83"/>
      <c r="P46" s="83"/>
      <c r="Q46" s="83"/>
      <c r="R46" s="83"/>
      <c r="S46" s="79"/>
    </row>
    <row r="47" spans="1:20" ht="17.7" x14ac:dyDescent="0.55000000000000004">
      <c r="A47" s="83" t="s">
        <v>234</v>
      </c>
      <c r="B47" s="83"/>
      <c r="C47" s="83"/>
      <c r="D47" s="83"/>
      <c r="E47" s="83"/>
      <c r="F47" s="83"/>
      <c r="G47" s="83"/>
      <c r="H47" s="83"/>
      <c r="I47" s="83"/>
      <c r="J47" s="82"/>
      <c r="K47" s="83"/>
      <c r="L47" s="83"/>
      <c r="M47" s="83"/>
      <c r="N47" s="83"/>
      <c r="O47" s="83"/>
      <c r="P47" s="83"/>
      <c r="Q47" s="83"/>
      <c r="R47" s="83"/>
      <c r="S47" s="79"/>
    </row>
    <row r="48" spans="1:20" ht="17.7" x14ac:dyDescent="0.55000000000000004">
      <c r="A48" s="83" t="s">
        <v>357</v>
      </c>
      <c r="B48" s="83"/>
      <c r="C48" s="83"/>
      <c r="D48" s="83"/>
      <c r="E48" s="83"/>
      <c r="F48" s="83"/>
      <c r="G48" s="83"/>
      <c r="H48" s="83"/>
      <c r="I48" s="83"/>
      <c r="J48" s="82"/>
      <c r="K48" s="83"/>
      <c r="L48" s="83"/>
      <c r="M48" s="83"/>
      <c r="N48" s="83"/>
      <c r="O48" s="83"/>
      <c r="P48" s="83"/>
      <c r="Q48" s="83"/>
      <c r="R48" s="83"/>
      <c r="S48" s="79"/>
    </row>
    <row r="49" spans="1:19" ht="17.7" x14ac:dyDescent="0.55000000000000004">
      <c r="A49" s="83"/>
      <c r="B49" s="83"/>
      <c r="C49" s="83"/>
      <c r="D49" s="83"/>
      <c r="E49" s="83"/>
      <c r="F49" s="83"/>
      <c r="G49" s="83"/>
      <c r="H49" s="83"/>
      <c r="I49" s="83"/>
      <c r="J49" s="82"/>
      <c r="K49" s="83"/>
      <c r="L49" s="83"/>
      <c r="M49" s="83"/>
      <c r="N49" s="83"/>
      <c r="O49" s="83"/>
      <c r="P49" s="83"/>
      <c r="Q49" s="83"/>
      <c r="R49" s="83"/>
      <c r="S49" s="79"/>
    </row>
    <row r="50" spans="1:19" ht="17.7" x14ac:dyDescent="0.55000000000000004">
      <c r="A50" s="83"/>
      <c r="B50" s="83"/>
      <c r="C50" s="83"/>
      <c r="D50" s="83"/>
      <c r="E50" s="83"/>
      <c r="F50" s="83"/>
      <c r="G50" s="83"/>
      <c r="H50" s="83"/>
      <c r="I50" s="83"/>
      <c r="J50" s="82"/>
      <c r="K50" s="83"/>
      <c r="L50" s="83"/>
      <c r="M50" s="83"/>
      <c r="N50" s="83"/>
      <c r="O50" s="83"/>
      <c r="P50" s="83"/>
      <c r="Q50" s="83"/>
      <c r="R50" s="83"/>
      <c r="S50" s="79"/>
    </row>
    <row r="51" spans="1:19" ht="17.7" x14ac:dyDescent="0.55000000000000004">
      <c r="A51" s="83"/>
      <c r="B51" s="83"/>
      <c r="C51" s="83"/>
      <c r="D51" s="83"/>
      <c r="E51" s="83"/>
      <c r="F51" s="83"/>
      <c r="G51" s="83"/>
      <c r="H51" s="83"/>
      <c r="I51" s="83"/>
      <c r="J51" s="82"/>
      <c r="K51" s="83"/>
      <c r="L51" s="83"/>
      <c r="M51" s="83"/>
      <c r="N51" s="83"/>
      <c r="O51" s="83"/>
      <c r="P51" s="83"/>
      <c r="Q51" s="83"/>
      <c r="R51" s="83"/>
      <c r="S51" s="79"/>
    </row>
    <row r="52" spans="1:19" ht="17.7" x14ac:dyDescent="0.55000000000000004">
      <c r="A52" s="82" t="s">
        <v>354</v>
      </c>
      <c r="B52" s="83"/>
      <c r="C52" s="83"/>
      <c r="D52" s="83"/>
      <c r="E52" s="83"/>
      <c r="F52" s="83"/>
      <c r="G52" s="83"/>
      <c r="H52" s="83"/>
      <c r="I52" s="83"/>
      <c r="J52" s="82"/>
      <c r="K52" s="83"/>
      <c r="L52" s="83"/>
      <c r="M52" s="83"/>
      <c r="N52" s="83"/>
      <c r="O52" s="83"/>
      <c r="P52" s="83"/>
      <c r="Q52" s="83"/>
      <c r="R52" s="83"/>
      <c r="S52" s="79"/>
    </row>
    <row r="53" spans="1:19" ht="17.350000000000001" x14ac:dyDescent="0.5">
      <c r="A53" s="83" t="s">
        <v>354</v>
      </c>
      <c r="B53" s="94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</row>
    <row r="54" spans="1:19" ht="17.350000000000001" x14ac:dyDescent="0.5">
      <c r="A54" s="83" t="s">
        <v>148</v>
      </c>
      <c r="B54" s="89"/>
      <c r="C54" s="83"/>
      <c r="D54" s="99"/>
      <c r="E54" s="99"/>
      <c r="F54" s="83"/>
      <c r="G54" s="99"/>
      <c r="H54" s="99"/>
      <c r="I54" s="99"/>
      <c r="J54" s="99"/>
      <c r="K54" s="89"/>
      <c r="L54" s="83"/>
      <c r="M54" s="83"/>
      <c r="N54" s="83"/>
      <c r="O54" s="83"/>
      <c r="P54" s="83"/>
      <c r="Q54" s="83"/>
      <c r="R54" s="83"/>
    </row>
    <row r="55" spans="1:19" ht="17.350000000000001" x14ac:dyDescent="0.5">
      <c r="A55" s="83" t="s">
        <v>323</v>
      </c>
      <c r="B55" s="91"/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  <c r="R55" s="83"/>
    </row>
    <row r="56" spans="1:19" ht="17.350000000000001" x14ac:dyDescent="0.5">
      <c r="A56" s="83" t="s">
        <v>232</v>
      </c>
      <c r="B56" s="94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</row>
    <row r="57" spans="1:19" ht="17.350000000000001" x14ac:dyDescent="0.5">
      <c r="A57" s="83"/>
      <c r="B57" s="129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  <c r="R57" s="83"/>
    </row>
    <row r="58" spans="1:19" ht="17.7" x14ac:dyDescent="0.55000000000000004">
      <c r="A58" s="82"/>
      <c r="B58" s="101"/>
      <c r="C58" s="99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  <c r="R58" s="83"/>
    </row>
    <row r="59" spans="1:19" ht="17.350000000000001" x14ac:dyDescent="0.5">
      <c r="A59" s="106"/>
      <c r="B59" s="94"/>
      <c r="C59" s="83"/>
      <c r="D59" s="89"/>
      <c r="E59" s="89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</row>
    <row r="60" spans="1:19" ht="17.7" x14ac:dyDescent="0.55000000000000004">
      <c r="A60" s="82"/>
      <c r="B60" s="89"/>
      <c r="C60" s="83"/>
      <c r="D60" s="89"/>
      <c r="E60" s="89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</row>
    <row r="61" spans="1:19" ht="17.350000000000001" x14ac:dyDescent="0.5">
      <c r="A61" s="83"/>
      <c r="B61" s="91"/>
      <c r="C61" s="83"/>
      <c r="D61" s="89"/>
      <c r="E61" s="89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  <c r="R61" s="83"/>
    </row>
    <row r="62" spans="1:19" ht="17.350000000000001" x14ac:dyDescent="0.5">
      <c r="A62" s="83"/>
      <c r="B62" s="131"/>
      <c r="C62" s="83"/>
      <c r="D62" s="89"/>
      <c r="E62" s="89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</row>
    <row r="63" spans="1:19" ht="17.350000000000001" x14ac:dyDescent="0.5">
      <c r="A63" s="83"/>
      <c r="B63" s="101"/>
      <c r="C63" s="83"/>
      <c r="D63" s="89"/>
      <c r="E63" s="89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  <c r="R63" s="83"/>
    </row>
    <row r="64" spans="1:19" ht="17.7" x14ac:dyDescent="0.55000000000000004">
      <c r="A64" s="83"/>
      <c r="B64" s="89"/>
      <c r="C64" s="83"/>
      <c r="D64" s="83"/>
      <c r="E64" s="83"/>
      <c r="F64" s="83"/>
      <c r="G64" s="83"/>
      <c r="H64" s="82"/>
      <c r="I64" s="83"/>
      <c r="J64" s="83"/>
      <c r="K64" s="83"/>
      <c r="L64" s="83"/>
      <c r="M64" s="83"/>
      <c r="N64" s="83"/>
      <c r="O64" s="83"/>
      <c r="P64" s="83"/>
      <c r="Q64" s="83"/>
      <c r="R64" s="83"/>
    </row>
    <row r="65" spans="1:18" ht="17.350000000000001" x14ac:dyDescent="0.5">
      <c r="A65" s="128"/>
      <c r="B65" s="114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</row>
    <row r="66" spans="1:18" ht="17.7" x14ac:dyDescent="0.55000000000000004">
      <c r="A66" s="82"/>
      <c r="B66" s="101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</row>
    <row r="67" spans="1:18" ht="17.350000000000001" x14ac:dyDescent="0.5">
      <c r="A67" s="83"/>
      <c r="B67" s="89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</row>
    <row r="68" spans="1:18" ht="17.350000000000001" x14ac:dyDescent="0.5">
      <c r="A68" s="83"/>
      <c r="B68" s="99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  <c r="R68" s="83"/>
    </row>
    <row r="69" spans="1:18" ht="17.350000000000001" x14ac:dyDescent="0.5">
      <c r="A69" s="83"/>
      <c r="B69" s="10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  <c r="R69" s="83"/>
    </row>
    <row r="70" spans="1:18" ht="17.350000000000001" x14ac:dyDescent="0.5">
      <c r="A70" s="83"/>
      <c r="B70" s="101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  <c r="R70" s="83"/>
    </row>
    <row r="71" spans="1:18" ht="17.350000000000001" x14ac:dyDescent="0.5">
      <c r="A71" s="83"/>
      <c r="B71" s="101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  <c r="R71" s="83"/>
    </row>
    <row r="72" spans="1:18" ht="17.350000000000001" x14ac:dyDescent="0.5">
      <c r="A72" s="83"/>
      <c r="B72" s="101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  <c r="R72" s="83"/>
    </row>
    <row r="73" spans="1:18" ht="17.350000000000001" x14ac:dyDescent="0.5">
      <c r="A73" s="83"/>
      <c r="B73" s="101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  <c r="R73" s="83"/>
    </row>
    <row r="74" spans="1:18" ht="17.350000000000001" x14ac:dyDescent="0.5">
      <c r="A74" s="83"/>
      <c r="B74" s="101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  <c r="R74" s="83"/>
    </row>
    <row r="75" spans="1:18" ht="17.350000000000001" x14ac:dyDescent="0.5">
      <c r="A75" s="83"/>
      <c r="B75" s="83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83"/>
    </row>
    <row r="76" spans="1:18" ht="17.350000000000001" x14ac:dyDescent="0.5">
      <c r="A76" s="105"/>
      <c r="B76" s="125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  <c r="R76" s="83"/>
    </row>
    <row r="77" spans="1:18" ht="17.350000000000001" x14ac:dyDescent="0.5">
      <c r="A77" s="105" t="s">
        <v>302</v>
      </c>
      <c r="B77" s="88"/>
      <c r="C77" s="88"/>
      <c r="D77" s="88"/>
      <c r="E77" s="88"/>
      <c r="F77" s="88">
        <v>750</v>
      </c>
      <c r="G77" s="88"/>
      <c r="H77" s="88">
        <v>200</v>
      </c>
      <c r="I77" s="88">
        <v>200</v>
      </c>
      <c r="J77" s="88">
        <v>200</v>
      </c>
      <c r="K77" s="88">
        <v>200</v>
      </c>
      <c r="L77" s="88">
        <v>200</v>
      </c>
      <c r="M77" s="88">
        <v>200</v>
      </c>
      <c r="N77" s="88"/>
      <c r="O77" s="88">
        <v>200</v>
      </c>
      <c r="P77" s="89">
        <f>B77-SUM(F77:O77)</f>
        <v>-2150</v>
      </c>
      <c r="Q77" s="83"/>
      <c r="R77" s="83"/>
    </row>
    <row r="78" spans="1:18" ht="17.350000000000001" x14ac:dyDescent="0.5">
      <c r="A78" s="83" t="s">
        <v>303</v>
      </c>
      <c r="B78" s="88"/>
      <c r="C78" s="98"/>
      <c r="D78" s="98"/>
      <c r="E78" s="98"/>
      <c r="F78" s="89">
        <v>300</v>
      </c>
      <c r="G78" s="89"/>
      <c r="H78" s="89">
        <v>300</v>
      </c>
      <c r="I78" s="89">
        <v>300</v>
      </c>
      <c r="J78" s="89">
        <v>300</v>
      </c>
      <c r="K78" s="89">
        <v>300</v>
      </c>
      <c r="L78" s="89">
        <v>300</v>
      </c>
      <c r="M78" s="89">
        <v>300</v>
      </c>
      <c r="N78" s="89"/>
      <c r="O78" s="89">
        <v>300</v>
      </c>
      <c r="P78" s="89">
        <f>B78-SUM(F78:O78)</f>
        <v>-2400</v>
      </c>
      <c r="Q78" s="83"/>
      <c r="R78" s="83"/>
    </row>
    <row r="79" spans="1:18" ht="17.350000000000001" x14ac:dyDescent="0.5">
      <c r="A79" s="83" t="s">
        <v>304</v>
      </c>
      <c r="B79" s="90"/>
      <c r="C79" s="98"/>
      <c r="D79" s="98"/>
      <c r="E79" s="98"/>
      <c r="F79" s="89">
        <v>1200</v>
      </c>
      <c r="G79" s="89"/>
      <c r="H79" s="89">
        <v>400</v>
      </c>
      <c r="I79" s="89">
        <v>400</v>
      </c>
      <c r="J79" s="89">
        <v>400</v>
      </c>
      <c r="K79" s="89">
        <v>400</v>
      </c>
      <c r="L79" s="89">
        <v>400</v>
      </c>
      <c r="M79" s="89">
        <v>400</v>
      </c>
      <c r="N79" s="89"/>
      <c r="O79" s="89">
        <v>400</v>
      </c>
      <c r="P79" s="89">
        <f>B79-SUM(F79:O79)</f>
        <v>-4000</v>
      </c>
      <c r="Q79" s="83"/>
      <c r="R79" s="83"/>
    </row>
    <row r="80" spans="1:18" ht="17.350000000000001" x14ac:dyDescent="0.5">
      <c r="A80" s="83" t="s">
        <v>44</v>
      </c>
      <c r="B80" s="89">
        <f>SUM(B77:B79)</f>
        <v>0</v>
      </c>
      <c r="C80" s="88"/>
      <c r="D80" s="98"/>
      <c r="E80" s="98"/>
      <c r="F80" s="89">
        <f t="shared" ref="F80:O80" si="5">SUM(F77:F79)</f>
        <v>2250</v>
      </c>
      <c r="G80" s="89"/>
      <c r="H80" s="89">
        <f t="shared" si="5"/>
        <v>900</v>
      </c>
      <c r="I80" s="89">
        <f t="shared" si="5"/>
        <v>900</v>
      </c>
      <c r="J80" s="89">
        <f t="shared" si="5"/>
        <v>900</v>
      </c>
      <c r="K80" s="89">
        <f t="shared" si="5"/>
        <v>900</v>
      </c>
      <c r="L80" s="89">
        <f t="shared" si="5"/>
        <v>900</v>
      </c>
      <c r="M80" s="89">
        <f t="shared" si="5"/>
        <v>900</v>
      </c>
      <c r="N80" s="89"/>
      <c r="O80" s="89">
        <f t="shared" si="5"/>
        <v>900</v>
      </c>
      <c r="P80" s="89">
        <f>B80-SUM(D80:O80)</f>
        <v>-8550</v>
      </c>
      <c r="Q80" s="83"/>
      <c r="R80" s="83"/>
    </row>
    <row r="81" spans="1:18" ht="17.7" x14ac:dyDescent="0.55000000000000004">
      <c r="A81" s="83"/>
      <c r="B81" s="88"/>
      <c r="C81" s="113"/>
      <c r="D81" s="98"/>
      <c r="E81" s="98"/>
      <c r="F81" s="89"/>
      <c r="G81" s="83"/>
      <c r="H81" s="83"/>
      <c r="I81" s="83"/>
      <c r="J81" s="83"/>
      <c r="K81" s="83"/>
      <c r="L81" s="83"/>
      <c r="M81" s="83"/>
      <c r="N81" s="83"/>
      <c r="O81" s="83"/>
      <c r="P81" s="89">
        <f>B81-SUM(D81:O81)</f>
        <v>0</v>
      </c>
      <c r="Q81" s="103"/>
      <c r="R81" s="83"/>
    </row>
    <row r="82" spans="1:18" ht="17.7" x14ac:dyDescent="0.55000000000000004">
      <c r="A82" s="83"/>
      <c r="B82" s="114"/>
      <c r="C82" s="82"/>
      <c r="D82" s="98"/>
      <c r="E82" s="98"/>
      <c r="F82" s="89"/>
      <c r="G82" s="83"/>
      <c r="H82" s="83"/>
      <c r="I82" s="83"/>
      <c r="J82" s="83"/>
      <c r="K82" s="83"/>
      <c r="L82" s="83"/>
      <c r="M82" s="83"/>
      <c r="N82" s="83"/>
      <c r="O82" s="83"/>
      <c r="P82" s="89">
        <f>B82-SUM(D82:O82)</f>
        <v>0</v>
      </c>
      <c r="Q82" s="83"/>
      <c r="R82" s="83"/>
    </row>
    <row r="83" spans="1:18" ht="17.7" x14ac:dyDescent="0.55000000000000004">
      <c r="A83" s="83"/>
      <c r="B83" s="89"/>
      <c r="C83" s="89">
        <f>SUM(C77:C82)</f>
        <v>0</v>
      </c>
      <c r="D83" s="89"/>
      <c r="E83" s="89"/>
      <c r="F83" s="89"/>
      <c r="G83" s="88"/>
      <c r="H83" s="88"/>
      <c r="I83" s="88"/>
      <c r="J83" s="88"/>
      <c r="K83" s="88"/>
      <c r="L83" s="88"/>
      <c r="M83" s="88"/>
      <c r="N83" s="88"/>
      <c r="O83" s="88"/>
      <c r="P83" s="89"/>
      <c r="Q83" s="82"/>
      <c r="R83" s="83"/>
    </row>
    <row r="84" spans="1:18" ht="17.350000000000001" x14ac:dyDescent="0.5">
      <c r="A84" s="83"/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</row>
    <row r="86" spans="1:18" ht="17.350000000000001" x14ac:dyDescent="0.5">
      <c r="A86" s="83"/>
      <c r="B86" s="83"/>
      <c r="C86" s="83"/>
      <c r="G86" s="78"/>
      <c r="Q86" s="44"/>
    </row>
    <row r="87" spans="1:18" ht="17.350000000000001" x14ac:dyDescent="0.5">
      <c r="A87" s="83"/>
      <c r="B87" s="83"/>
      <c r="C87" s="83"/>
      <c r="G87" s="78"/>
    </row>
    <row r="88" spans="1:18" ht="17.350000000000001" x14ac:dyDescent="0.5">
      <c r="A88" s="83"/>
      <c r="B88" s="83"/>
      <c r="C88" s="83"/>
      <c r="G88" s="77"/>
    </row>
    <row r="89" spans="1:18" ht="17.350000000000001" x14ac:dyDescent="0.5">
      <c r="A89" s="83"/>
      <c r="B89" s="83"/>
      <c r="C89" s="83"/>
      <c r="G89" s="77"/>
    </row>
    <row r="90" spans="1:18" ht="17.350000000000001" x14ac:dyDescent="0.5">
      <c r="A90" s="83"/>
      <c r="B90" s="83"/>
      <c r="C90" s="83"/>
    </row>
    <row r="91" spans="1:18" ht="17.350000000000001" x14ac:dyDescent="0.5">
      <c r="A91" s="83"/>
      <c r="B91" s="83"/>
      <c r="C91" s="83"/>
      <c r="D91" s="74"/>
      <c r="E91" s="74"/>
    </row>
    <row r="92" spans="1:18" ht="17.350000000000001" x14ac:dyDescent="0.5">
      <c r="A92" s="83"/>
      <c r="B92" s="83"/>
      <c r="C92" s="83"/>
    </row>
  </sheetData>
  <pageMargins left="0.25" right="0" top="0.5" bottom="1" header="0.5" footer="0.5"/>
  <pageSetup scale="65" orientation="landscape" r:id="rId1"/>
  <headerFooter alignWithMargins="0"/>
  <rowBreaks count="1" manualBreakCount="1">
    <brk id="41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52"/>
  <sheetViews>
    <sheetView zoomScaleNormal="100" workbookViewId="0">
      <pane xSplit="1" topLeftCell="B1" activePane="topRight" state="frozen"/>
      <selection pane="topRight" activeCell="B1" sqref="B1"/>
    </sheetView>
  </sheetViews>
  <sheetFormatPr defaultRowHeight="12.7" x14ac:dyDescent="0.4"/>
  <cols>
    <col min="1" max="1" width="32.41015625" customWidth="1"/>
    <col min="2" max="2" width="11.1171875" customWidth="1"/>
    <col min="3" max="3" width="10" customWidth="1"/>
    <col min="4" max="4" width="10.87890625" customWidth="1"/>
    <col min="5" max="5" width="10.5859375" customWidth="1"/>
    <col min="6" max="6" width="11.234375" customWidth="1"/>
    <col min="7" max="7" width="12.234375" customWidth="1"/>
    <col min="8" max="8" width="10.5859375" customWidth="1"/>
    <col min="9" max="9" width="11.1171875" customWidth="1"/>
    <col min="10" max="10" width="11" customWidth="1"/>
    <col min="11" max="12" width="12.703125" customWidth="1"/>
    <col min="13" max="13" width="12.1171875" customWidth="1"/>
    <col min="14" max="14" width="2.87890625" customWidth="1"/>
    <col min="15" max="15" width="12.1171875" customWidth="1"/>
    <col min="16" max="16" width="9.234375" customWidth="1"/>
    <col min="17" max="17" width="10.87890625" bestFit="1" customWidth="1"/>
  </cols>
  <sheetData>
    <row r="1" spans="1:16" x14ac:dyDescent="0.4">
      <c r="A1" s="2" t="s">
        <v>30</v>
      </c>
    </row>
    <row r="2" spans="1:16" x14ac:dyDescent="0.4">
      <c r="A2" s="2"/>
      <c r="B2" s="39" t="s">
        <v>40</v>
      </c>
      <c r="C2" s="18" t="s">
        <v>43</v>
      </c>
      <c r="D2" s="39" t="s">
        <v>113</v>
      </c>
      <c r="E2" s="39" t="s">
        <v>51</v>
      </c>
      <c r="F2" s="39" t="s">
        <v>46</v>
      </c>
      <c r="G2" s="39" t="s">
        <v>47</v>
      </c>
      <c r="H2" s="39" t="s">
        <v>0</v>
      </c>
      <c r="I2" s="39" t="s">
        <v>3</v>
      </c>
      <c r="J2" s="39" t="s">
        <v>10</v>
      </c>
      <c r="K2" s="39" t="s">
        <v>11</v>
      </c>
      <c r="L2" s="39" t="s">
        <v>12</v>
      </c>
      <c r="M2" s="39" t="s">
        <v>13</v>
      </c>
      <c r="N2" s="39"/>
      <c r="O2" s="39" t="s">
        <v>44</v>
      </c>
    </row>
    <row r="3" spans="1:16" x14ac:dyDescent="0.4">
      <c r="A3" t="s">
        <v>16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>
        <f t="shared" ref="O3:O20" si="0">SUM(B3:M3)</f>
        <v>0</v>
      </c>
    </row>
    <row r="4" spans="1:16" ht="15.75" customHeight="1" x14ac:dyDescent="0.4">
      <c r="A4" s="26" t="s">
        <v>17</v>
      </c>
      <c r="B4" s="11">
        <v>50</v>
      </c>
      <c r="C4" s="11">
        <v>35</v>
      </c>
      <c r="D4" s="11">
        <v>50</v>
      </c>
      <c r="E4" s="11">
        <v>50</v>
      </c>
      <c r="F4" s="11">
        <v>50</v>
      </c>
      <c r="G4" s="11">
        <v>50</v>
      </c>
      <c r="H4" s="11">
        <v>50</v>
      </c>
      <c r="I4" s="11">
        <v>50</v>
      </c>
      <c r="J4" s="11">
        <v>50</v>
      </c>
      <c r="K4" s="11">
        <v>50</v>
      </c>
      <c r="L4" s="11">
        <v>50</v>
      </c>
      <c r="M4" s="11">
        <v>50</v>
      </c>
      <c r="N4" s="11" t="s">
        <v>68</v>
      </c>
      <c r="O4" s="11">
        <f t="shared" si="0"/>
        <v>585</v>
      </c>
    </row>
    <row r="5" spans="1:16" ht="14.25" customHeight="1" x14ac:dyDescent="0.4">
      <c r="A5" t="s">
        <v>123</v>
      </c>
      <c r="B5" s="11">
        <v>0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70</v>
      </c>
      <c r="N5" s="11" t="s">
        <v>68</v>
      </c>
      <c r="O5" s="11">
        <f t="shared" si="0"/>
        <v>70</v>
      </c>
    </row>
    <row r="6" spans="1:16" ht="14.25" customHeight="1" x14ac:dyDescent="0.4">
      <c r="A6" t="s">
        <v>88</v>
      </c>
      <c r="B6" s="11">
        <f>852-284</f>
        <v>568</v>
      </c>
      <c r="C6" s="11"/>
      <c r="D6" s="11"/>
      <c r="E6" s="11">
        <v>852</v>
      </c>
      <c r="F6" s="11"/>
      <c r="G6" s="11">
        <v>852</v>
      </c>
      <c r="H6" s="11"/>
      <c r="I6" s="11"/>
      <c r="J6" s="11">
        <v>852</v>
      </c>
      <c r="K6" s="11"/>
      <c r="L6" s="11"/>
      <c r="M6" s="10"/>
      <c r="N6" s="10"/>
      <c r="O6" s="11">
        <f t="shared" si="0"/>
        <v>3124</v>
      </c>
    </row>
    <row r="7" spans="1:16" x14ac:dyDescent="0.4">
      <c r="A7" t="s">
        <v>117</v>
      </c>
      <c r="B7" s="11">
        <v>55.05</v>
      </c>
      <c r="C7" s="11">
        <v>53.82</v>
      </c>
      <c r="D7" s="11">
        <v>53.82</v>
      </c>
      <c r="E7" s="11">
        <v>54</v>
      </c>
      <c r="F7" s="11">
        <v>7</v>
      </c>
      <c r="G7" s="11">
        <v>7</v>
      </c>
      <c r="H7" s="11">
        <v>7</v>
      </c>
      <c r="I7" s="11">
        <v>7</v>
      </c>
      <c r="J7" s="11">
        <v>7</v>
      </c>
      <c r="K7" s="11">
        <v>53.82</v>
      </c>
      <c r="L7" s="11">
        <v>53.82</v>
      </c>
      <c r="M7" s="14">
        <v>69</v>
      </c>
      <c r="N7" s="11" t="s">
        <v>68</v>
      </c>
      <c r="O7" s="11">
        <f t="shared" si="0"/>
        <v>428.33</v>
      </c>
    </row>
    <row r="8" spans="1:16" x14ac:dyDescent="0.4">
      <c r="A8" s="26" t="s">
        <v>118</v>
      </c>
      <c r="B8" s="11">
        <v>123.44</v>
      </c>
      <c r="C8" s="11">
        <v>64.209999999999994</v>
      </c>
      <c r="D8" s="11">
        <v>80.739999999999995</v>
      </c>
      <c r="E8" s="11">
        <v>107.38</v>
      </c>
      <c r="F8" s="11">
        <v>92.03</v>
      </c>
      <c r="G8" s="11">
        <v>16.61</v>
      </c>
      <c r="H8" s="11">
        <v>17.34</v>
      </c>
      <c r="I8" s="11">
        <v>16.010000000000002</v>
      </c>
      <c r="J8" s="14">
        <v>16.22</v>
      </c>
      <c r="K8" s="11">
        <v>50.06</v>
      </c>
      <c r="L8" s="11">
        <v>16.309999999999999</v>
      </c>
      <c r="M8" s="14">
        <v>15</v>
      </c>
      <c r="N8" s="14"/>
      <c r="O8" s="11">
        <f t="shared" si="0"/>
        <v>615.34999999999991</v>
      </c>
      <c r="P8" s="2"/>
    </row>
    <row r="9" spans="1:16" ht="14.25" customHeight="1" x14ac:dyDescent="0.4">
      <c r="A9" t="s">
        <v>20</v>
      </c>
      <c r="B9" s="11">
        <v>303</v>
      </c>
      <c r="C9" s="11">
        <v>303</v>
      </c>
      <c r="D9" s="11">
        <v>303</v>
      </c>
      <c r="E9" s="11">
        <v>303</v>
      </c>
      <c r="F9" s="11">
        <v>303</v>
      </c>
      <c r="G9" s="11">
        <v>303</v>
      </c>
      <c r="H9" s="11">
        <v>303</v>
      </c>
      <c r="I9" s="11">
        <v>303</v>
      </c>
      <c r="J9" s="11">
        <v>303</v>
      </c>
      <c r="K9" s="11">
        <v>303</v>
      </c>
      <c r="L9" s="11">
        <v>303</v>
      </c>
      <c r="M9" s="11">
        <v>303</v>
      </c>
      <c r="N9" s="11" t="s">
        <v>68</v>
      </c>
      <c r="O9" s="11">
        <f t="shared" si="0"/>
        <v>3636</v>
      </c>
    </row>
    <row r="10" spans="1:16" ht="17.25" customHeight="1" x14ac:dyDescent="0.4">
      <c r="A10" t="s">
        <v>24</v>
      </c>
      <c r="B10" s="11">
        <v>40</v>
      </c>
      <c r="C10" s="11">
        <v>50</v>
      </c>
      <c r="D10" s="11">
        <v>25</v>
      </c>
      <c r="E10" s="11">
        <v>25</v>
      </c>
      <c r="F10" s="11">
        <v>25</v>
      </c>
      <c r="G10" s="11">
        <v>25</v>
      </c>
      <c r="H10" s="11"/>
      <c r="I10" s="11"/>
      <c r="J10" s="11"/>
      <c r="K10" s="11">
        <v>50</v>
      </c>
      <c r="L10" s="11"/>
      <c r="M10" s="11">
        <v>50</v>
      </c>
      <c r="N10" s="11" t="s">
        <v>68</v>
      </c>
      <c r="O10" s="11">
        <f t="shared" si="0"/>
        <v>290</v>
      </c>
    </row>
    <row r="11" spans="1:16" x14ac:dyDescent="0.4">
      <c r="A11" t="s">
        <v>114</v>
      </c>
      <c r="B11" s="11">
        <v>43.33</v>
      </c>
      <c r="C11" s="14">
        <v>50.3</v>
      </c>
      <c r="D11" s="11">
        <v>63.02</v>
      </c>
      <c r="E11" s="11">
        <v>50.42</v>
      </c>
      <c r="F11" s="11">
        <v>51.71</v>
      </c>
      <c r="G11" s="11">
        <v>119.86</v>
      </c>
      <c r="H11" s="11">
        <v>142.33000000000001</v>
      </c>
      <c r="I11" s="11">
        <v>162.52000000000001</v>
      </c>
      <c r="J11" s="14">
        <v>120.34</v>
      </c>
      <c r="K11" s="11">
        <v>118.27</v>
      </c>
      <c r="L11" s="11">
        <v>112.15</v>
      </c>
      <c r="M11" s="14">
        <v>107.05</v>
      </c>
      <c r="N11" s="11" t="s">
        <v>68</v>
      </c>
      <c r="O11" s="11">
        <f t="shared" si="0"/>
        <v>1141.3</v>
      </c>
    </row>
    <row r="12" spans="1:16" x14ac:dyDescent="0.4">
      <c r="A12" t="s">
        <v>36</v>
      </c>
      <c r="B12" s="11">
        <v>125</v>
      </c>
      <c r="C12" s="11">
        <v>125</v>
      </c>
      <c r="D12" s="11">
        <v>83</v>
      </c>
      <c r="E12" s="11"/>
      <c r="F12" s="11">
        <v>0</v>
      </c>
      <c r="G12" s="11"/>
      <c r="H12" s="11">
        <v>125</v>
      </c>
      <c r="I12" s="11">
        <v>125</v>
      </c>
      <c r="J12" s="14">
        <v>125</v>
      </c>
      <c r="K12" s="11">
        <v>125</v>
      </c>
      <c r="L12" s="11">
        <v>125</v>
      </c>
      <c r="M12" s="11">
        <v>125</v>
      </c>
      <c r="N12" s="11" t="s">
        <v>68</v>
      </c>
      <c r="O12" s="11">
        <f t="shared" si="0"/>
        <v>1083</v>
      </c>
    </row>
    <row r="13" spans="1:16" x14ac:dyDescent="0.4">
      <c r="A13" t="s">
        <v>115</v>
      </c>
      <c r="B13" s="11">
        <v>29.04</v>
      </c>
      <c r="C13" s="11"/>
      <c r="D13" s="11"/>
      <c r="E13" s="11"/>
      <c r="F13" s="10">
        <v>0</v>
      </c>
      <c r="G13" s="11"/>
      <c r="H13" s="11">
        <v>0</v>
      </c>
      <c r="I13" s="11"/>
      <c r="J13" s="14"/>
      <c r="K13" s="11">
        <v>50</v>
      </c>
      <c r="L13" s="11">
        <v>50</v>
      </c>
      <c r="M13" s="11">
        <v>50</v>
      </c>
      <c r="N13" s="11" t="s">
        <v>68</v>
      </c>
      <c r="O13" s="11">
        <f t="shared" si="0"/>
        <v>179.04</v>
      </c>
    </row>
    <row r="14" spans="1:16" x14ac:dyDescent="0.4">
      <c r="A14" t="s">
        <v>121</v>
      </c>
      <c r="B14" s="11">
        <v>560</v>
      </c>
      <c r="C14" s="11"/>
      <c r="D14" s="11"/>
      <c r="E14" s="11"/>
      <c r="F14" s="10"/>
      <c r="G14" s="11"/>
      <c r="H14" s="11"/>
      <c r="I14" s="11"/>
      <c r="J14" s="14"/>
      <c r="K14" s="10"/>
      <c r="L14" s="11"/>
      <c r="M14" s="11"/>
      <c r="N14" s="11"/>
      <c r="O14" s="11">
        <f t="shared" si="0"/>
        <v>560</v>
      </c>
    </row>
    <row r="15" spans="1:16" x14ac:dyDescent="0.4">
      <c r="A15" t="s">
        <v>124</v>
      </c>
      <c r="B15" s="11"/>
      <c r="C15" s="11"/>
      <c r="D15" s="11"/>
      <c r="E15" s="11"/>
      <c r="F15" s="10"/>
      <c r="G15" s="11"/>
      <c r="H15" s="11"/>
      <c r="I15" s="11"/>
      <c r="J15" s="14"/>
      <c r="K15" s="10"/>
      <c r="L15" s="11"/>
      <c r="M15" s="11">
        <v>50</v>
      </c>
      <c r="N15" s="11" t="s">
        <v>68</v>
      </c>
      <c r="O15" s="11">
        <f t="shared" si="0"/>
        <v>50</v>
      </c>
      <c r="P15" s="2"/>
    </row>
    <row r="16" spans="1:16" x14ac:dyDescent="0.4">
      <c r="A16" t="s">
        <v>116</v>
      </c>
      <c r="B16" s="11"/>
      <c r="C16" s="11"/>
      <c r="D16" s="11"/>
      <c r="E16" s="11"/>
      <c r="F16" s="14"/>
      <c r="G16" s="11"/>
      <c r="H16" s="11"/>
      <c r="I16" s="11"/>
      <c r="J16" s="14"/>
      <c r="K16" s="11"/>
      <c r="L16" s="11"/>
      <c r="M16" s="11"/>
      <c r="N16" s="11"/>
      <c r="O16" s="11">
        <f t="shared" si="0"/>
        <v>0</v>
      </c>
      <c r="P16" s="2"/>
    </row>
    <row r="17" spans="1:20" x14ac:dyDescent="0.4">
      <c r="A17" t="s">
        <v>119</v>
      </c>
      <c r="B17" s="11">
        <v>161.11000000000001</v>
      </c>
      <c r="C17" s="14">
        <v>161.43</v>
      </c>
      <c r="D17" s="14">
        <v>161.43</v>
      </c>
      <c r="E17" s="14">
        <v>158.13999999999999</v>
      </c>
      <c r="F17" s="14">
        <v>158.79</v>
      </c>
      <c r="G17" s="14">
        <v>158.53</v>
      </c>
      <c r="H17" s="14">
        <v>158.53</v>
      </c>
      <c r="I17" s="14">
        <v>158.96</v>
      </c>
      <c r="J17" s="14">
        <v>158.13999999999999</v>
      </c>
      <c r="K17" s="14">
        <v>170.24</v>
      </c>
      <c r="L17" s="14">
        <v>170.24</v>
      </c>
      <c r="M17" s="14">
        <v>170.14</v>
      </c>
      <c r="N17" s="11" t="s">
        <v>68</v>
      </c>
      <c r="O17" s="11">
        <f t="shared" si="0"/>
        <v>1945.6799999999998</v>
      </c>
      <c r="Q17" s="2"/>
      <c r="T17" s="2"/>
    </row>
    <row r="18" spans="1:20" x14ac:dyDescent="0.4">
      <c r="A18" t="s">
        <v>120</v>
      </c>
      <c r="B18" s="11">
        <v>97.4</v>
      </c>
      <c r="C18" s="11">
        <v>93.66</v>
      </c>
      <c r="D18" s="11">
        <v>93.66</v>
      </c>
      <c r="E18" s="11">
        <v>92</v>
      </c>
      <c r="F18" s="11">
        <v>92</v>
      </c>
      <c r="G18" s="11">
        <v>92</v>
      </c>
      <c r="H18" s="11">
        <v>92</v>
      </c>
      <c r="I18" s="11">
        <v>92</v>
      </c>
      <c r="J18" s="11">
        <v>92</v>
      </c>
      <c r="K18" s="11">
        <v>95.16</v>
      </c>
      <c r="L18" s="11">
        <v>95.16</v>
      </c>
      <c r="M18" s="11">
        <v>95.16</v>
      </c>
      <c r="N18" s="11" t="s">
        <v>68</v>
      </c>
      <c r="O18" s="11">
        <f t="shared" si="0"/>
        <v>1122.2</v>
      </c>
      <c r="P18" s="2"/>
      <c r="Q18" s="2"/>
    </row>
    <row r="19" spans="1:20" x14ac:dyDescent="0.4">
      <c r="A19" t="s">
        <v>28</v>
      </c>
      <c r="B19" s="11">
        <f>62+92.5+228.08</f>
        <v>382.58000000000004</v>
      </c>
      <c r="C19" s="11"/>
      <c r="D19" s="11"/>
      <c r="E19" s="11"/>
      <c r="F19" s="11">
        <v>0</v>
      </c>
      <c r="G19" s="11">
        <v>40.520000000000003</v>
      </c>
      <c r="H19" s="11"/>
      <c r="I19" s="11"/>
      <c r="J19" s="14">
        <v>100</v>
      </c>
      <c r="K19" s="11"/>
      <c r="L19" s="11"/>
      <c r="M19" s="11"/>
      <c r="N19" s="11"/>
      <c r="O19" s="11">
        <f t="shared" si="0"/>
        <v>523.1</v>
      </c>
    </row>
    <row r="20" spans="1:20" x14ac:dyDescent="0.4">
      <c r="A20" t="s">
        <v>29</v>
      </c>
      <c r="B20" s="12">
        <v>475</v>
      </c>
      <c r="C20" s="12">
        <v>475</v>
      </c>
      <c r="D20" s="12">
        <v>475</v>
      </c>
      <c r="E20" s="12">
        <v>475</v>
      </c>
      <c r="F20" s="12">
        <v>475</v>
      </c>
      <c r="G20" s="12">
        <v>475</v>
      </c>
      <c r="H20" s="12">
        <v>475</v>
      </c>
      <c r="I20" s="12">
        <v>475</v>
      </c>
      <c r="J20" s="12">
        <v>475</v>
      </c>
      <c r="K20" s="12">
        <v>475</v>
      </c>
      <c r="L20" s="12">
        <v>475</v>
      </c>
      <c r="M20" s="12">
        <v>475</v>
      </c>
      <c r="N20" s="11" t="s">
        <v>68</v>
      </c>
      <c r="O20" s="12">
        <f t="shared" si="0"/>
        <v>5700</v>
      </c>
    </row>
    <row r="21" spans="1:20" x14ac:dyDescent="0.4">
      <c r="A21" s="2"/>
      <c r="B21" s="36">
        <f t="shared" ref="B21:I21" si="1">SUM(B3:B20)</f>
        <v>3012.95</v>
      </c>
      <c r="C21" s="36">
        <f t="shared" si="1"/>
        <v>1411.42</v>
      </c>
      <c r="D21" s="36">
        <f t="shared" si="1"/>
        <v>1388.67</v>
      </c>
      <c r="E21" s="36">
        <f t="shared" si="1"/>
        <v>2166.94</v>
      </c>
      <c r="F21" s="36">
        <f t="shared" si="1"/>
        <v>1254.53</v>
      </c>
      <c r="G21" s="36">
        <f t="shared" si="1"/>
        <v>2139.52</v>
      </c>
      <c r="H21" s="36">
        <f t="shared" si="1"/>
        <v>1370.2</v>
      </c>
      <c r="I21" s="36">
        <f t="shared" si="1"/>
        <v>1389.49</v>
      </c>
      <c r="J21" s="36">
        <f>SUM(J3:J20)</f>
        <v>2298.6999999999998</v>
      </c>
      <c r="K21" s="36">
        <f>SUM(K3:K20)</f>
        <v>1540.55</v>
      </c>
      <c r="L21" s="36">
        <f>SUM(L3:L20)</f>
        <v>1450.6799999999998</v>
      </c>
      <c r="M21" s="36">
        <f>SUM(M3:M20)</f>
        <v>1629.3500000000001</v>
      </c>
      <c r="N21" s="36"/>
      <c r="O21" s="36">
        <f>SUM(O3:O20)</f>
        <v>21053</v>
      </c>
    </row>
    <row r="22" spans="1:20" x14ac:dyDescent="0.4">
      <c r="A22" t="s">
        <v>31</v>
      </c>
      <c r="B22" s="11"/>
      <c r="C22" s="11"/>
      <c r="G22" s="2"/>
      <c r="H22" s="2"/>
      <c r="I22" s="2"/>
      <c r="J22" s="2"/>
      <c r="K22" s="2"/>
      <c r="L22" s="2"/>
      <c r="M22" s="2"/>
      <c r="N22" s="2"/>
    </row>
    <row r="23" spans="1:20" x14ac:dyDescent="0.4">
      <c r="A23" t="s">
        <v>87</v>
      </c>
      <c r="B23" s="34">
        <v>200</v>
      </c>
      <c r="C23" s="34">
        <v>200</v>
      </c>
      <c r="D23" s="34">
        <v>200</v>
      </c>
      <c r="E23" s="34">
        <v>100</v>
      </c>
      <c r="F23" s="34">
        <v>100</v>
      </c>
      <c r="G23" s="34">
        <v>100</v>
      </c>
      <c r="H23" s="34">
        <v>100</v>
      </c>
      <c r="I23" s="34">
        <v>100</v>
      </c>
      <c r="J23" s="34">
        <v>100</v>
      </c>
      <c r="K23" s="34">
        <v>100</v>
      </c>
      <c r="L23" s="34">
        <v>100</v>
      </c>
      <c r="M23" s="34">
        <v>100</v>
      </c>
      <c r="N23" s="34"/>
      <c r="O23" s="11">
        <f>SUM(B23:M23)</f>
        <v>1500</v>
      </c>
    </row>
    <row r="24" spans="1:20" x14ac:dyDescent="0.4">
      <c r="A24" t="s">
        <v>33</v>
      </c>
      <c r="B24" s="34">
        <v>300</v>
      </c>
      <c r="C24" s="34">
        <v>300</v>
      </c>
      <c r="D24" s="34">
        <v>300</v>
      </c>
      <c r="E24" s="34">
        <v>300</v>
      </c>
      <c r="F24" s="37">
        <v>300</v>
      </c>
      <c r="G24" s="37">
        <v>300</v>
      </c>
      <c r="H24" s="37">
        <v>300</v>
      </c>
      <c r="I24" s="37">
        <v>300</v>
      </c>
      <c r="J24" s="37">
        <v>300</v>
      </c>
      <c r="K24" s="37">
        <v>300</v>
      </c>
      <c r="L24" s="37">
        <v>300</v>
      </c>
      <c r="M24" s="37">
        <v>200</v>
      </c>
      <c r="N24" s="37"/>
      <c r="O24" s="11">
        <f>SUM(B24:M24)</f>
        <v>3500</v>
      </c>
      <c r="R24" s="2"/>
    </row>
    <row r="25" spans="1:20" x14ac:dyDescent="0.4">
      <c r="A25" t="s">
        <v>34</v>
      </c>
      <c r="B25" s="38">
        <v>120</v>
      </c>
      <c r="C25" s="38">
        <v>120</v>
      </c>
      <c r="D25" s="23">
        <v>120</v>
      </c>
      <c r="E25" s="23">
        <v>120</v>
      </c>
      <c r="F25" s="19">
        <v>120</v>
      </c>
      <c r="G25" s="19">
        <v>120</v>
      </c>
      <c r="H25" s="19">
        <v>120</v>
      </c>
      <c r="I25" s="19">
        <v>120</v>
      </c>
      <c r="J25" s="19">
        <v>120</v>
      </c>
      <c r="K25" s="19">
        <v>120</v>
      </c>
      <c r="L25" s="19">
        <v>120</v>
      </c>
      <c r="M25" s="19">
        <v>120</v>
      </c>
      <c r="N25" s="19"/>
      <c r="O25" s="12">
        <f>SUM(B25:M25)</f>
        <v>1440</v>
      </c>
    </row>
    <row r="26" spans="1:20" x14ac:dyDescent="0.4">
      <c r="B26" s="36">
        <f t="shared" ref="B26:I26" si="2">B21+SUM(B23:B25)</f>
        <v>3632.95</v>
      </c>
      <c r="C26" s="36">
        <f t="shared" si="2"/>
        <v>2031.42</v>
      </c>
      <c r="D26" s="36">
        <f t="shared" si="2"/>
        <v>2008.67</v>
      </c>
      <c r="E26" s="36">
        <f t="shared" si="2"/>
        <v>2686.94</v>
      </c>
      <c r="F26" s="36">
        <f t="shared" si="2"/>
        <v>1774.53</v>
      </c>
      <c r="G26" s="36">
        <f t="shared" si="2"/>
        <v>2659.52</v>
      </c>
      <c r="H26" s="36">
        <f t="shared" si="2"/>
        <v>1890.2</v>
      </c>
      <c r="I26" s="36">
        <f t="shared" si="2"/>
        <v>1909.49</v>
      </c>
      <c r="J26" s="36">
        <f>J21+SUM(J23:J25)</f>
        <v>2818.7</v>
      </c>
      <c r="K26" s="36">
        <f>K21+SUM(K23:K25)</f>
        <v>2060.5500000000002</v>
      </c>
      <c r="L26" s="36">
        <f>L21+SUM(L23:L25)</f>
        <v>1970.6799999999998</v>
      </c>
      <c r="M26" s="36">
        <f>M21+SUM(M23:M25)</f>
        <v>2049.3500000000004</v>
      </c>
      <c r="N26" s="36"/>
      <c r="O26" s="36">
        <f>O21+SUM(O23:O25)</f>
        <v>27493</v>
      </c>
      <c r="P26" s="29"/>
    </row>
    <row r="27" spans="1:20" x14ac:dyDescent="0.4">
      <c r="B27" s="11"/>
      <c r="C27" s="11"/>
      <c r="D27" s="5"/>
      <c r="H27" s="26"/>
      <c r="I27" s="26"/>
      <c r="J27" s="2"/>
      <c r="K27" s="2"/>
      <c r="L27" s="2"/>
      <c r="M27" s="2"/>
      <c r="N27" s="2"/>
    </row>
    <row r="28" spans="1:20" x14ac:dyDescent="0.4">
      <c r="A28" t="s">
        <v>77</v>
      </c>
      <c r="B28" s="1">
        <f>1835+200+100</f>
        <v>2135</v>
      </c>
      <c r="C28" s="1">
        <f t="shared" ref="C28:J28" si="3">1835+200</f>
        <v>2035</v>
      </c>
      <c r="D28" s="1">
        <f t="shared" si="3"/>
        <v>2035</v>
      </c>
      <c r="E28" s="1">
        <f t="shared" si="3"/>
        <v>2035</v>
      </c>
      <c r="F28" s="1">
        <f t="shared" si="3"/>
        <v>2035</v>
      </c>
      <c r="G28" s="1">
        <f t="shared" si="3"/>
        <v>2035</v>
      </c>
      <c r="H28" s="1">
        <f t="shared" si="3"/>
        <v>2035</v>
      </c>
      <c r="I28" s="1">
        <f t="shared" si="3"/>
        <v>2035</v>
      </c>
      <c r="J28" s="1">
        <f t="shared" si="3"/>
        <v>2035</v>
      </c>
      <c r="K28" s="1">
        <f>1835-122-50+400</f>
        <v>2063</v>
      </c>
      <c r="L28" s="1">
        <f>1834-122-50+450</f>
        <v>2112</v>
      </c>
      <c r="M28" s="1">
        <f>1664+450</f>
        <v>2114</v>
      </c>
      <c r="N28" s="1"/>
      <c r="O28" s="11">
        <f>SUM(B28:M28)</f>
        <v>24704</v>
      </c>
      <c r="R28" s="2"/>
    </row>
    <row r="29" spans="1:20" x14ac:dyDescent="0.4">
      <c r="B29" s="11"/>
      <c r="C29" s="11"/>
      <c r="D29" s="5"/>
      <c r="R29" s="2"/>
    </row>
    <row r="30" spans="1:20" x14ac:dyDescent="0.4">
      <c r="A30" s="2"/>
      <c r="B30" s="28">
        <f t="shared" ref="B30:I30" si="4">B28-B26</f>
        <v>-1497.9499999999998</v>
      </c>
      <c r="C30" s="28">
        <f t="shared" si="4"/>
        <v>3.5799999999999272</v>
      </c>
      <c r="D30" s="28">
        <f t="shared" si="4"/>
        <v>26.329999999999927</v>
      </c>
      <c r="E30" s="28">
        <f t="shared" si="4"/>
        <v>-651.94000000000005</v>
      </c>
      <c r="F30" s="28">
        <f t="shared" si="4"/>
        <v>260.47000000000003</v>
      </c>
      <c r="G30" s="28">
        <f t="shared" si="4"/>
        <v>-624.52</v>
      </c>
      <c r="H30" s="28">
        <f t="shared" si="4"/>
        <v>144.79999999999995</v>
      </c>
      <c r="I30" s="28">
        <f t="shared" si="4"/>
        <v>125.50999999999999</v>
      </c>
      <c r="J30" s="28">
        <f>J28-J26</f>
        <v>-783.69999999999982</v>
      </c>
      <c r="K30" s="28">
        <f>K28-K26</f>
        <v>2.4499999999998181</v>
      </c>
      <c r="L30" s="28">
        <f>L28-L26</f>
        <v>141.32000000000016</v>
      </c>
      <c r="M30" s="28">
        <f>M28-M26</f>
        <v>64.649999999999636</v>
      </c>
      <c r="N30" s="28"/>
      <c r="O30" s="11">
        <f>SUM(B30:M30)</f>
        <v>-2788.9999999999995</v>
      </c>
      <c r="R30" s="2"/>
    </row>
    <row r="31" spans="1:20" x14ac:dyDescent="0.4">
      <c r="A31" s="26"/>
      <c r="B31" s="11"/>
      <c r="C31" s="11"/>
      <c r="D31" s="5"/>
      <c r="R31" s="2"/>
    </row>
    <row r="32" spans="1:20" x14ac:dyDescent="0.4">
      <c r="B32" s="11"/>
      <c r="C32" s="11"/>
      <c r="D32" s="5"/>
      <c r="E32" s="26"/>
      <c r="R32" s="2"/>
      <c r="S32" s="2"/>
    </row>
    <row r="33" spans="1:17" x14ac:dyDescent="0.4">
      <c r="E33" s="26"/>
      <c r="F33" s="26"/>
      <c r="I33" s="2"/>
      <c r="K33" s="26"/>
      <c r="M33" s="26"/>
      <c r="N33" s="26"/>
      <c r="P33" s="1"/>
    </row>
    <row r="34" spans="1:17" x14ac:dyDescent="0.4">
      <c r="A34" s="26" t="s">
        <v>110</v>
      </c>
      <c r="G34" s="5"/>
      <c r="J34" s="41"/>
    </row>
    <row r="35" spans="1:17" x14ac:dyDescent="0.4">
      <c r="A35" s="26" t="s">
        <v>111</v>
      </c>
      <c r="J35" s="28"/>
      <c r="Q35" s="28"/>
    </row>
    <row r="36" spans="1:17" x14ac:dyDescent="0.4">
      <c r="A36" s="26" t="s">
        <v>112</v>
      </c>
      <c r="G36" s="28"/>
      <c r="H36" s="28"/>
      <c r="I36" s="28"/>
      <c r="P36" s="2"/>
      <c r="Q36" s="28"/>
    </row>
    <row r="37" spans="1:17" x14ac:dyDescent="0.4">
      <c r="A37" s="26" t="s">
        <v>122</v>
      </c>
      <c r="I37" s="2"/>
      <c r="Q37" s="28"/>
    </row>
    <row r="39" spans="1:17" x14ac:dyDescent="0.4">
      <c r="A39" s="2" t="s">
        <v>108</v>
      </c>
      <c r="B39" s="28">
        <v>7827.18</v>
      </c>
      <c r="C39" s="28"/>
      <c r="D39" s="28"/>
      <c r="E39" s="28"/>
      <c r="F39" s="28"/>
      <c r="G39" s="28"/>
      <c r="H39" s="28"/>
      <c r="I39" s="28"/>
    </row>
    <row r="40" spans="1:17" x14ac:dyDescent="0.4">
      <c r="A40" t="s">
        <v>104</v>
      </c>
      <c r="B40">
        <v>-1174.08</v>
      </c>
    </row>
    <row r="41" spans="1:17" x14ac:dyDescent="0.4">
      <c r="A41" t="s">
        <v>103</v>
      </c>
      <c r="B41" s="19">
        <v>-403.1</v>
      </c>
    </row>
    <row r="42" spans="1:17" x14ac:dyDescent="0.4">
      <c r="A42" t="s">
        <v>105</v>
      </c>
      <c r="B42" s="28">
        <f>SUM(B39:B41)</f>
        <v>6250</v>
      </c>
    </row>
    <row r="44" spans="1:17" x14ac:dyDescent="0.4">
      <c r="A44" t="s">
        <v>109</v>
      </c>
      <c r="B44" s="43">
        <v>1753.48</v>
      </c>
    </row>
    <row r="45" spans="1:17" x14ac:dyDescent="0.4">
      <c r="A45" t="s">
        <v>106</v>
      </c>
      <c r="B45" s="3">
        <v>2800</v>
      </c>
    </row>
    <row r="46" spans="1:17" x14ac:dyDescent="0.4">
      <c r="A46" t="s">
        <v>107</v>
      </c>
      <c r="B46" s="4">
        <v>1700</v>
      </c>
    </row>
    <row r="47" spans="1:17" x14ac:dyDescent="0.4">
      <c r="A47" t="s">
        <v>44</v>
      </c>
      <c r="B47" s="43">
        <f>SUM(B44:B46)</f>
        <v>6253.48</v>
      </c>
    </row>
    <row r="49" spans="6:6" x14ac:dyDescent="0.4">
      <c r="F49" s="1"/>
    </row>
    <row r="50" spans="6:6" x14ac:dyDescent="0.4">
      <c r="F50" s="13"/>
    </row>
    <row r="51" spans="6:6" x14ac:dyDescent="0.4">
      <c r="F51" s="5"/>
    </row>
    <row r="52" spans="6:6" x14ac:dyDescent="0.4">
      <c r="F52" s="5"/>
    </row>
  </sheetData>
  <phoneticPr fontId="3" type="noConversion"/>
  <pageMargins left="0.75" right="0.75" top="1" bottom="1" header="0.5" footer="0.5"/>
  <pageSetup scale="66" orientation="landscape" horizontalDpi="200" verticalDpi="200" r:id="rId1"/>
  <headerFooter alignWithMargins="0"/>
  <colBreaks count="1" manualBreakCount="1">
    <brk id="15" max="49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T49"/>
  <sheetViews>
    <sheetView zoomScaleNormal="100" workbookViewId="0">
      <pane xSplit="1" topLeftCell="F1" activePane="topRight" state="frozen"/>
      <selection pane="topRight" activeCell="M26" sqref="M26"/>
    </sheetView>
  </sheetViews>
  <sheetFormatPr defaultRowHeight="12.7" x14ac:dyDescent="0.4"/>
  <cols>
    <col min="1" max="1" width="36.87890625" customWidth="1"/>
    <col min="2" max="2" width="11.1171875" customWidth="1"/>
    <col min="3" max="3" width="10" customWidth="1"/>
    <col min="4" max="4" width="10.87890625" customWidth="1"/>
    <col min="5" max="5" width="10.5859375" customWidth="1"/>
    <col min="6" max="6" width="11.234375" customWidth="1"/>
    <col min="7" max="7" width="12.234375" customWidth="1"/>
    <col min="8" max="8" width="10.5859375" customWidth="1"/>
    <col min="9" max="9" width="11.1171875" customWidth="1"/>
    <col min="10" max="10" width="11" customWidth="1"/>
    <col min="11" max="12" width="12.703125" customWidth="1"/>
    <col min="13" max="13" width="10" customWidth="1"/>
    <col min="14" max="14" width="3.1171875" customWidth="1"/>
    <col min="15" max="15" width="12.41015625" customWidth="1"/>
    <col min="16" max="16" width="9.234375" customWidth="1"/>
    <col min="17" max="17" width="10.87890625" bestFit="1" customWidth="1"/>
  </cols>
  <sheetData>
    <row r="1" spans="1:20" x14ac:dyDescent="0.4">
      <c r="A1" s="2" t="s">
        <v>30</v>
      </c>
    </row>
    <row r="2" spans="1:20" x14ac:dyDescent="0.4">
      <c r="A2" s="2"/>
      <c r="B2" s="39" t="s">
        <v>40</v>
      </c>
      <c r="C2" s="18" t="s">
        <v>43</v>
      </c>
      <c r="D2" s="39" t="s">
        <v>50</v>
      </c>
      <c r="E2" s="39" t="s">
        <v>51</v>
      </c>
      <c r="F2" s="39" t="s">
        <v>46</v>
      </c>
      <c r="G2" s="39" t="s">
        <v>47</v>
      </c>
      <c r="H2" s="39" t="s">
        <v>0</v>
      </c>
      <c r="I2" s="39" t="s">
        <v>3</v>
      </c>
      <c r="J2" s="39" t="s">
        <v>10</v>
      </c>
      <c r="K2" s="39" t="s">
        <v>11</v>
      </c>
      <c r="L2" s="39" t="s">
        <v>12</v>
      </c>
      <c r="M2" s="39" t="s">
        <v>13</v>
      </c>
      <c r="N2" s="17"/>
      <c r="O2" s="17" t="s">
        <v>44</v>
      </c>
    </row>
    <row r="3" spans="1:20" x14ac:dyDescent="0.4">
      <c r="A3" t="s">
        <v>16</v>
      </c>
      <c r="B3" s="36">
        <v>184</v>
      </c>
      <c r="C3" s="36">
        <v>191</v>
      </c>
      <c r="D3" s="36">
        <v>201</v>
      </c>
      <c r="E3" s="36">
        <v>201</v>
      </c>
      <c r="F3" s="36">
        <v>416</v>
      </c>
      <c r="G3" s="36">
        <v>221</v>
      </c>
      <c r="H3" s="36">
        <v>500</v>
      </c>
      <c r="I3" s="36">
        <v>500</v>
      </c>
      <c r="J3" s="36">
        <v>300</v>
      </c>
      <c r="K3" s="36">
        <v>300</v>
      </c>
      <c r="L3" s="36">
        <v>300</v>
      </c>
      <c r="M3" s="36">
        <v>310</v>
      </c>
      <c r="N3" s="11" t="s">
        <v>68</v>
      </c>
      <c r="O3" s="36">
        <f t="shared" ref="O3:O17" si="0">SUM(B3:M3)</f>
        <v>3624</v>
      </c>
    </row>
    <row r="4" spans="1:20" ht="15.75" customHeight="1" x14ac:dyDescent="0.4">
      <c r="A4" t="s">
        <v>97</v>
      </c>
      <c r="B4" s="11">
        <v>50</v>
      </c>
      <c r="C4" s="11">
        <v>35</v>
      </c>
      <c r="D4" s="11">
        <v>50</v>
      </c>
      <c r="E4" s="11">
        <v>50</v>
      </c>
      <c r="F4" s="11">
        <v>35</v>
      </c>
      <c r="G4" s="11">
        <v>35</v>
      </c>
      <c r="H4" s="11">
        <v>35</v>
      </c>
      <c r="I4" s="11">
        <v>35</v>
      </c>
      <c r="J4" s="14">
        <v>65</v>
      </c>
      <c r="K4" s="11">
        <v>50</v>
      </c>
      <c r="L4" s="11">
        <v>70</v>
      </c>
      <c r="M4" s="11">
        <v>100</v>
      </c>
      <c r="N4" s="11" t="s">
        <v>68</v>
      </c>
      <c r="O4" s="11">
        <f t="shared" si="0"/>
        <v>610</v>
      </c>
    </row>
    <row r="5" spans="1:20" ht="14.25" customHeight="1" x14ac:dyDescent="0.4">
      <c r="A5" t="s">
        <v>86</v>
      </c>
      <c r="B5" s="11">
        <v>500</v>
      </c>
      <c r="C5" s="11">
        <v>700</v>
      </c>
      <c r="D5" s="11">
        <v>700</v>
      </c>
      <c r="E5" s="11">
        <v>700</v>
      </c>
      <c r="F5" s="11">
        <v>700</v>
      </c>
      <c r="G5" s="11">
        <v>700</v>
      </c>
      <c r="H5" s="11">
        <v>195</v>
      </c>
      <c r="I5" s="11">
        <v>0</v>
      </c>
      <c r="J5" s="11">
        <v>0</v>
      </c>
      <c r="K5" s="11"/>
      <c r="L5" s="11">
        <v>0</v>
      </c>
      <c r="M5" s="11">
        <v>0</v>
      </c>
      <c r="N5" s="11"/>
      <c r="O5" s="11">
        <f t="shared" si="0"/>
        <v>4195</v>
      </c>
    </row>
    <row r="6" spans="1:20" ht="14.25" customHeight="1" x14ac:dyDescent="0.4">
      <c r="A6" t="s">
        <v>88</v>
      </c>
      <c r="B6" s="11"/>
      <c r="C6" s="11"/>
      <c r="D6" s="11"/>
      <c r="E6" s="11"/>
      <c r="F6" s="11"/>
      <c r="G6" s="11">
        <v>852</v>
      </c>
      <c r="H6" s="11"/>
      <c r="I6" s="11"/>
      <c r="J6" s="11"/>
      <c r="K6" s="11"/>
      <c r="L6" s="11"/>
      <c r="M6" s="11"/>
      <c r="N6" s="10"/>
      <c r="O6" s="11">
        <f t="shared" si="0"/>
        <v>852</v>
      </c>
    </row>
    <row r="7" spans="1:20" x14ac:dyDescent="0.4">
      <c r="A7" t="s">
        <v>95</v>
      </c>
      <c r="B7" s="11">
        <v>15.68</v>
      </c>
      <c r="C7" s="11">
        <v>37.25</v>
      </c>
      <c r="D7" s="11">
        <v>39.99</v>
      </c>
      <c r="E7" s="11">
        <v>39.99</v>
      </c>
      <c r="F7" s="11">
        <v>39.99</v>
      </c>
      <c r="G7" s="11">
        <v>0</v>
      </c>
      <c r="H7" s="11">
        <v>0</v>
      </c>
      <c r="I7" s="11">
        <v>0</v>
      </c>
      <c r="J7" s="11"/>
      <c r="K7" s="11"/>
      <c r="L7" s="11">
        <v>60.2</v>
      </c>
      <c r="M7" s="14">
        <v>49.59</v>
      </c>
      <c r="N7" s="11" t="s">
        <v>68</v>
      </c>
      <c r="O7" s="11">
        <f t="shared" si="0"/>
        <v>282.69000000000005</v>
      </c>
    </row>
    <row r="8" spans="1:20" x14ac:dyDescent="0.4">
      <c r="A8" t="s">
        <v>96</v>
      </c>
      <c r="B8" s="11">
        <v>100.7</v>
      </c>
      <c r="C8" s="11">
        <v>62.73</v>
      </c>
      <c r="D8" s="11">
        <v>80.739999999999995</v>
      </c>
      <c r="E8" s="11">
        <v>107.38</v>
      </c>
      <c r="F8" s="11">
        <v>92.03</v>
      </c>
      <c r="G8" s="11">
        <v>16.61</v>
      </c>
      <c r="H8" s="11">
        <v>17.34</v>
      </c>
      <c r="I8" s="11">
        <v>16.010000000000002</v>
      </c>
      <c r="J8" s="14">
        <v>15.64</v>
      </c>
      <c r="K8" s="11">
        <v>16.420000000000002</v>
      </c>
      <c r="L8" s="11">
        <v>92.1</v>
      </c>
      <c r="M8" s="14">
        <v>110.66</v>
      </c>
      <c r="N8" s="11" t="s">
        <v>68</v>
      </c>
      <c r="O8" s="11">
        <f t="shared" si="0"/>
        <v>728.36</v>
      </c>
      <c r="P8" s="2"/>
    </row>
    <row r="9" spans="1:20" ht="14.25" customHeight="1" x14ac:dyDescent="0.4">
      <c r="A9" t="s">
        <v>20</v>
      </c>
      <c r="B9" s="11">
        <v>286</v>
      </c>
      <c r="C9" s="11">
        <v>286</v>
      </c>
      <c r="D9" s="11">
        <v>286</v>
      </c>
      <c r="E9" s="11">
        <v>286</v>
      </c>
      <c r="F9" s="11">
        <v>286</v>
      </c>
      <c r="G9" s="11">
        <v>286</v>
      </c>
      <c r="H9" s="11">
        <v>286</v>
      </c>
      <c r="I9" s="11">
        <v>286</v>
      </c>
      <c r="J9" s="11">
        <v>286</v>
      </c>
      <c r="K9" s="11">
        <v>286</v>
      </c>
      <c r="L9" s="11">
        <v>286</v>
      </c>
      <c r="M9" s="11">
        <v>303</v>
      </c>
      <c r="N9" s="11" t="s">
        <v>68</v>
      </c>
      <c r="O9" s="11">
        <f t="shared" si="0"/>
        <v>3449</v>
      </c>
    </row>
    <row r="10" spans="1:20" ht="17.25" customHeight="1" x14ac:dyDescent="0.4">
      <c r="A10" t="s">
        <v>98</v>
      </c>
      <c r="B10" s="11">
        <v>25</v>
      </c>
      <c r="C10" s="11">
        <v>25</v>
      </c>
      <c r="D10" s="11">
        <v>25</v>
      </c>
      <c r="E10" s="11">
        <v>25</v>
      </c>
      <c r="F10" s="11">
        <v>25</v>
      </c>
      <c r="G10" s="11">
        <v>25</v>
      </c>
      <c r="H10" s="11">
        <v>25</v>
      </c>
      <c r="I10" s="11">
        <v>50</v>
      </c>
      <c r="J10" s="11">
        <v>50</v>
      </c>
      <c r="K10" s="11">
        <v>30</v>
      </c>
      <c r="L10" s="11">
        <v>27</v>
      </c>
      <c r="M10" s="11">
        <v>50</v>
      </c>
      <c r="N10" s="11" t="s">
        <v>68</v>
      </c>
      <c r="O10" s="11">
        <f t="shared" si="0"/>
        <v>382</v>
      </c>
    </row>
    <row r="11" spans="1:20" x14ac:dyDescent="0.4">
      <c r="A11" t="s">
        <v>99</v>
      </c>
      <c r="B11" s="11">
        <v>59.97</v>
      </c>
      <c r="C11" s="14">
        <v>82.74</v>
      </c>
      <c r="D11" s="11">
        <v>54.45</v>
      </c>
      <c r="E11" s="11">
        <v>50.42</v>
      </c>
      <c r="F11" s="11">
        <v>51.71</v>
      </c>
      <c r="G11" s="11">
        <v>119.86</v>
      </c>
      <c r="H11" s="11">
        <v>142.33000000000001</v>
      </c>
      <c r="I11" s="11">
        <v>162.52000000000001</v>
      </c>
      <c r="J11" s="14">
        <v>146.34</v>
      </c>
      <c r="K11" s="11">
        <v>144.5</v>
      </c>
      <c r="L11" s="11">
        <v>66.760000000000005</v>
      </c>
      <c r="M11" s="14">
        <v>56.77</v>
      </c>
      <c r="N11" s="11" t="s">
        <v>68</v>
      </c>
      <c r="O11" s="11">
        <f t="shared" si="0"/>
        <v>1138.3700000000001</v>
      </c>
    </row>
    <row r="12" spans="1:20" x14ac:dyDescent="0.4">
      <c r="A12" t="s">
        <v>100</v>
      </c>
      <c r="B12" s="11">
        <v>125</v>
      </c>
      <c r="C12" s="11">
        <v>130</v>
      </c>
      <c r="D12" s="11">
        <v>100</v>
      </c>
      <c r="E12" s="11"/>
      <c r="F12" s="11">
        <v>0</v>
      </c>
      <c r="G12" s="11"/>
      <c r="H12" s="11">
        <v>125</v>
      </c>
      <c r="I12" s="11">
        <v>125</v>
      </c>
      <c r="J12" s="14">
        <v>125</v>
      </c>
      <c r="K12" s="11">
        <v>125</v>
      </c>
      <c r="L12" s="11">
        <v>125</v>
      </c>
      <c r="M12" s="11">
        <v>125</v>
      </c>
      <c r="N12" s="11" t="s">
        <v>68</v>
      </c>
      <c r="O12" s="11">
        <f t="shared" si="0"/>
        <v>1105</v>
      </c>
    </row>
    <row r="13" spans="1:20" x14ac:dyDescent="0.4">
      <c r="A13" t="s">
        <v>101</v>
      </c>
      <c r="B13" s="11">
        <v>37</v>
      </c>
      <c r="C13" s="11"/>
      <c r="D13" s="11"/>
      <c r="E13" s="11"/>
      <c r="F13" s="10">
        <v>0</v>
      </c>
      <c r="G13" s="11"/>
      <c r="H13" s="11">
        <v>0</v>
      </c>
      <c r="I13" s="11"/>
      <c r="J13" s="14"/>
      <c r="K13" s="11">
        <v>50</v>
      </c>
      <c r="L13" s="11">
        <v>45.96</v>
      </c>
      <c r="M13" s="11">
        <v>50</v>
      </c>
      <c r="N13" s="11" t="s">
        <v>68</v>
      </c>
      <c r="O13" s="11">
        <f t="shared" si="0"/>
        <v>182.96</v>
      </c>
    </row>
    <row r="14" spans="1:20" x14ac:dyDescent="0.4">
      <c r="A14" t="s">
        <v>102</v>
      </c>
      <c r="B14" s="11">
        <v>142.53</v>
      </c>
      <c r="C14" s="14">
        <v>158.13999999999999</v>
      </c>
      <c r="D14" s="14">
        <v>158.13999999999999</v>
      </c>
      <c r="E14" s="14">
        <v>158.13999999999999</v>
      </c>
      <c r="F14" s="14">
        <v>158.79</v>
      </c>
      <c r="G14" s="14">
        <v>158.53</v>
      </c>
      <c r="H14" s="14">
        <v>158.53</v>
      </c>
      <c r="I14" s="14">
        <v>158.96</v>
      </c>
      <c r="J14" s="14">
        <v>158.96</v>
      </c>
      <c r="K14" s="14">
        <v>161.19</v>
      </c>
      <c r="L14" s="14">
        <v>161.11000000000001</v>
      </c>
      <c r="M14" s="14">
        <v>161.11000000000001</v>
      </c>
      <c r="N14" s="11" t="s">
        <v>68</v>
      </c>
      <c r="O14" s="11">
        <f t="shared" si="0"/>
        <v>1894.13</v>
      </c>
      <c r="Q14" s="2"/>
      <c r="T14" s="2"/>
    </row>
    <row r="15" spans="1:20" x14ac:dyDescent="0.4">
      <c r="A15" t="s">
        <v>94</v>
      </c>
      <c r="B15" s="11">
        <v>100</v>
      </c>
      <c r="C15" s="11">
        <v>100.3</v>
      </c>
      <c r="D15" s="11">
        <v>100.3</v>
      </c>
      <c r="E15" s="11">
        <v>100.3</v>
      </c>
      <c r="F15" s="11">
        <v>100.37</v>
      </c>
      <c r="G15" s="11">
        <v>100.37</v>
      </c>
      <c r="H15" s="11">
        <v>128.02000000000001</v>
      </c>
      <c r="I15" s="11">
        <v>92</v>
      </c>
      <c r="J15" s="14">
        <v>92.84</v>
      </c>
      <c r="K15" s="11">
        <v>92.84</v>
      </c>
      <c r="L15" s="11">
        <v>41.21</v>
      </c>
      <c r="M15" s="14">
        <v>93.38</v>
      </c>
      <c r="N15" s="11" t="s">
        <v>68</v>
      </c>
      <c r="O15" s="11">
        <f t="shared" si="0"/>
        <v>1141.9300000000003</v>
      </c>
      <c r="Q15" s="2"/>
    </row>
    <row r="16" spans="1:20" x14ac:dyDescent="0.4">
      <c r="A16" t="s">
        <v>28</v>
      </c>
      <c r="B16" s="11"/>
      <c r="C16" s="11"/>
      <c r="D16" s="11"/>
      <c r="E16" s="11"/>
      <c r="F16" s="11">
        <v>0</v>
      </c>
      <c r="G16" s="11">
        <v>40.520000000000003</v>
      </c>
      <c r="H16" s="11"/>
      <c r="I16" s="11"/>
      <c r="J16" s="14">
        <v>292.64</v>
      </c>
      <c r="K16" s="11"/>
      <c r="L16" s="11"/>
      <c r="M16" s="11"/>
      <c r="N16" s="11"/>
      <c r="O16" s="11">
        <f t="shared" si="0"/>
        <v>333.15999999999997</v>
      </c>
    </row>
    <row r="17" spans="1:19" x14ac:dyDescent="0.4">
      <c r="A17" t="s">
        <v>29</v>
      </c>
      <c r="B17" s="12">
        <v>485</v>
      </c>
      <c r="C17" s="12">
        <v>485</v>
      </c>
      <c r="D17" s="12">
        <v>485</v>
      </c>
      <c r="E17" s="12">
        <v>485</v>
      </c>
      <c r="F17" s="12">
        <v>0</v>
      </c>
      <c r="G17" s="12">
        <v>485</v>
      </c>
      <c r="H17" s="12"/>
      <c r="I17" s="12">
        <v>485</v>
      </c>
      <c r="J17" s="12">
        <v>485</v>
      </c>
      <c r="K17" s="12">
        <v>485</v>
      </c>
      <c r="L17" s="12">
        <v>485</v>
      </c>
      <c r="M17" s="12">
        <v>485</v>
      </c>
      <c r="N17" s="11" t="s">
        <v>68</v>
      </c>
      <c r="O17" s="12">
        <f t="shared" si="0"/>
        <v>4850</v>
      </c>
      <c r="Q17" s="11"/>
    </row>
    <row r="18" spans="1:19" x14ac:dyDescent="0.4">
      <c r="A18" s="2"/>
      <c r="B18" s="36">
        <f t="shared" ref="B18:L18" si="1">SUM(B3:B17)</f>
        <v>2110.88</v>
      </c>
      <c r="C18" s="36">
        <f t="shared" si="1"/>
        <v>2293.16</v>
      </c>
      <c r="D18" s="36">
        <f t="shared" si="1"/>
        <v>2280.62</v>
      </c>
      <c r="E18" s="36">
        <f t="shared" si="1"/>
        <v>2203.2299999999996</v>
      </c>
      <c r="F18" s="36">
        <f>SUM(F3:F17)</f>
        <v>1904.8899999999999</v>
      </c>
      <c r="G18" s="36">
        <f t="shared" si="1"/>
        <v>3039.89</v>
      </c>
      <c r="H18" s="36">
        <f t="shared" si="1"/>
        <v>1612.22</v>
      </c>
      <c r="I18" s="36">
        <f t="shared" si="1"/>
        <v>1910.49</v>
      </c>
      <c r="J18" s="36">
        <f t="shared" si="1"/>
        <v>2017.42</v>
      </c>
      <c r="K18" s="36">
        <f t="shared" si="1"/>
        <v>1740.95</v>
      </c>
      <c r="L18" s="36">
        <f t="shared" si="1"/>
        <v>1760.3400000000001</v>
      </c>
      <c r="M18" s="36">
        <f>SUM(M3:M17)</f>
        <v>1894.5100000000002</v>
      </c>
      <c r="N18" s="36"/>
      <c r="O18" s="36">
        <f>SUM(O3:O17)</f>
        <v>24768.600000000002</v>
      </c>
    </row>
    <row r="19" spans="1:19" x14ac:dyDescent="0.4">
      <c r="A19" t="s">
        <v>31</v>
      </c>
      <c r="B19" s="11"/>
      <c r="C19" s="11"/>
      <c r="G19" s="2"/>
      <c r="H19" s="2"/>
      <c r="I19" s="2"/>
      <c r="J19" s="2"/>
      <c r="K19" s="2"/>
      <c r="L19" s="2"/>
      <c r="M19" s="2"/>
      <c r="N19" s="2"/>
    </row>
    <row r="20" spans="1:19" x14ac:dyDescent="0.4">
      <c r="A20" t="s">
        <v>87</v>
      </c>
      <c r="B20" s="34"/>
      <c r="C20" s="34"/>
      <c r="D20" s="21"/>
      <c r="E20" s="34"/>
      <c r="F20" s="1"/>
      <c r="G20" s="1">
        <v>300</v>
      </c>
      <c r="H20" s="1"/>
      <c r="I20" s="1">
        <v>100</v>
      </c>
      <c r="J20" s="1">
        <v>150</v>
      </c>
      <c r="K20" s="1">
        <v>200</v>
      </c>
      <c r="L20" s="1">
        <v>200</v>
      </c>
      <c r="M20" s="1">
        <v>200</v>
      </c>
      <c r="N20" s="1"/>
      <c r="O20" s="11">
        <f>SUM(B20:M20)</f>
        <v>1150</v>
      </c>
      <c r="Q20" s="1"/>
    </row>
    <row r="21" spans="1:19" x14ac:dyDescent="0.4">
      <c r="A21" t="s">
        <v>33</v>
      </c>
      <c r="B21" s="34">
        <v>300</v>
      </c>
      <c r="C21" s="34">
        <v>300</v>
      </c>
      <c r="D21" s="34">
        <v>300</v>
      </c>
      <c r="E21" s="34">
        <v>300</v>
      </c>
      <c r="F21" s="37">
        <v>300</v>
      </c>
      <c r="G21" s="37">
        <v>300</v>
      </c>
      <c r="H21" s="37">
        <v>300</v>
      </c>
      <c r="I21" s="37">
        <v>300</v>
      </c>
      <c r="J21" s="37">
        <v>300</v>
      </c>
      <c r="K21" s="37">
        <v>300</v>
      </c>
      <c r="L21" s="37">
        <v>300</v>
      </c>
      <c r="M21" s="37">
        <v>300</v>
      </c>
      <c r="N21" s="37"/>
      <c r="O21" s="11">
        <f>SUM(B21:M21)</f>
        <v>3600</v>
      </c>
      <c r="Q21" s="37"/>
      <c r="R21" s="2"/>
    </row>
    <row r="22" spans="1:19" x14ac:dyDescent="0.4">
      <c r="A22" t="s">
        <v>34</v>
      </c>
      <c r="B22" s="38">
        <v>120</v>
      </c>
      <c r="C22" s="38">
        <v>120</v>
      </c>
      <c r="D22" s="23">
        <v>120</v>
      </c>
      <c r="E22" s="23">
        <v>120</v>
      </c>
      <c r="F22" s="19">
        <v>120</v>
      </c>
      <c r="G22" s="19">
        <v>120</v>
      </c>
      <c r="H22" s="19">
        <v>120</v>
      </c>
      <c r="I22" s="19">
        <v>120</v>
      </c>
      <c r="J22" s="19">
        <v>120</v>
      </c>
      <c r="K22" s="19">
        <v>120</v>
      </c>
      <c r="L22" s="19">
        <v>120</v>
      </c>
      <c r="M22" s="19">
        <v>120</v>
      </c>
      <c r="N22" s="19"/>
      <c r="O22" s="12">
        <f>SUM(B22:M22)</f>
        <v>1440</v>
      </c>
      <c r="Q22" s="1"/>
    </row>
    <row r="23" spans="1:19" x14ac:dyDescent="0.4">
      <c r="B23" s="36">
        <f t="shared" ref="B23:L23" si="2">B18+SUM(B20:B22)</f>
        <v>2530.88</v>
      </c>
      <c r="C23" s="36">
        <f t="shared" si="2"/>
        <v>2713.16</v>
      </c>
      <c r="D23" s="36">
        <f t="shared" si="2"/>
        <v>2700.62</v>
      </c>
      <c r="E23" s="36">
        <f t="shared" si="2"/>
        <v>2623.2299999999996</v>
      </c>
      <c r="F23" s="36">
        <f t="shared" si="2"/>
        <v>2324.89</v>
      </c>
      <c r="G23" s="36">
        <f>G18+SUM(G20:G22)</f>
        <v>3759.89</v>
      </c>
      <c r="H23" s="36">
        <f t="shared" si="2"/>
        <v>2032.22</v>
      </c>
      <c r="I23" s="36">
        <f t="shared" si="2"/>
        <v>2430.4899999999998</v>
      </c>
      <c r="J23" s="36">
        <f t="shared" si="2"/>
        <v>2587.42</v>
      </c>
      <c r="K23" s="36">
        <f t="shared" si="2"/>
        <v>2360.9499999999998</v>
      </c>
      <c r="L23" s="36">
        <f t="shared" si="2"/>
        <v>2380.34</v>
      </c>
      <c r="M23" s="36">
        <f>M18+SUM(M20:M22)</f>
        <v>2514.5100000000002</v>
      </c>
      <c r="N23" s="36"/>
      <c r="O23" s="36">
        <f>O18+SUM(O20:O22)</f>
        <v>30958.600000000002</v>
      </c>
      <c r="P23" s="29"/>
    </row>
    <row r="24" spans="1:19" x14ac:dyDescent="0.4">
      <c r="B24" s="11"/>
      <c r="C24" s="11"/>
      <c r="D24" s="5"/>
      <c r="H24" s="26"/>
      <c r="I24" s="26"/>
      <c r="J24" s="2"/>
      <c r="K24" s="2"/>
      <c r="L24" s="2"/>
      <c r="M24" s="2"/>
      <c r="N24" s="2"/>
    </row>
    <row r="25" spans="1:19" x14ac:dyDescent="0.4">
      <c r="A25" t="s">
        <v>77</v>
      </c>
      <c r="B25" s="25">
        <v>3026.83</v>
      </c>
      <c r="C25" s="25">
        <v>3176.83</v>
      </c>
      <c r="D25" s="25">
        <v>3026.83</v>
      </c>
      <c r="E25" s="25">
        <v>3025</v>
      </c>
      <c r="F25" s="25">
        <f>1500+424+1100</f>
        <v>3024</v>
      </c>
      <c r="G25" s="25">
        <f>2200+500+1098</f>
        <v>3798</v>
      </c>
      <c r="H25" s="25">
        <f>K36</f>
        <v>0</v>
      </c>
      <c r="I25" s="25">
        <f>1000+424+424+1500</f>
        <v>3348</v>
      </c>
      <c r="J25" s="25">
        <f>1560+425+200+424</f>
        <v>2609</v>
      </c>
      <c r="K25" s="25">
        <f>1560+275+200+425</f>
        <v>2460</v>
      </c>
      <c r="L25" s="25">
        <f>1835+416</f>
        <v>2251</v>
      </c>
      <c r="M25" s="25">
        <f>1835+200+130</f>
        <v>2165</v>
      </c>
      <c r="N25" s="25"/>
      <c r="O25" s="42">
        <f>SUM(B25:M25)</f>
        <v>31910.489999999998</v>
      </c>
      <c r="R25" s="2"/>
    </row>
    <row r="26" spans="1:19" x14ac:dyDescent="0.4">
      <c r="B26" s="11"/>
      <c r="C26" s="11"/>
      <c r="D26" s="5"/>
      <c r="R26" s="2"/>
    </row>
    <row r="27" spans="1:19" x14ac:dyDescent="0.4">
      <c r="A27" s="2"/>
      <c r="B27" s="28">
        <f t="shared" ref="B27:L27" si="3">B25-B23</f>
        <v>495.94999999999982</v>
      </c>
      <c r="C27" s="28">
        <f t="shared" si="3"/>
        <v>463.67000000000007</v>
      </c>
      <c r="D27" s="28">
        <f t="shared" si="3"/>
        <v>326.21000000000004</v>
      </c>
      <c r="E27" s="28">
        <f t="shared" si="3"/>
        <v>401.77000000000044</v>
      </c>
      <c r="F27" s="28">
        <f t="shared" si="3"/>
        <v>699.11000000000013</v>
      </c>
      <c r="G27" s="28">
        <f t="shared" si="3"/>
        <v>38.110000000000127</v>
      </c>
      <c r="H27" s="28">
        <f t="shared" si="3"/>
        <v>-2032.22</v>
      </c>
      <c r="I27" s="28">
        <f t="shared" si="3"/>
        <v>917.51000000000022</v>
      </c>
      <c r="J27" s="28">
        <f t="shared" si="3"/>
        <v>21.579999999999927</v>
      </c>
      <c r="K27" s="28">
        <f t="shared" si="3"/>
        <v>99.050000000000182</v>
      </c>
      <c r="L27" s="28">
        <f t="shared" si="3"/>
        <v>-129.34000000000015</v>
      </c>
      <c r="M27" s="28">
        <f>M25-M23</f>
        <v>-349.51000000000022</v>
      </c>
      <c r="N27" s="28"/>
      <c r="O27" s="12">
        <f>SUM(B27:M27)</f>
        <v>951.89000000000055</v>
      </c>
      <c r="R27" s="2"/>
    </row>
    <row r="28" spans="1:19" x14ac:dyDescent="0.4">
      <c r="A28" s="2"/>
      <c r="B28" s="11"/>
      <c r="C28" s="11"/>
      <c r="D28" s="5"/>
      <c r="R28" s="2"/>
    </row>
    <row r="29" spans="1:19" x14ac:dyDescent="0.4">
      <c r="B29" s="11"/>
      <c r="C29" s="11"/>
      <c r="D29" s="5"/>
      <c r="E29" s="26"/>
      <c r="O29" s="2"/>
      <c r="R29" s="2"/>
      <c r="S29" s="2"/>
    </row>
    <row r="30" spans="1:19" x14ac:dyDescent="0.4">
      <c r="E30" s="2"/>
      <c r="F30" s="26"/>
      <c r="G30" s="2"/>
      <c r="I30" s="2"/>
      <c r="J30" s="2"/>
      <c r="K30" s="26"/>
      <c r="M30" s="26"/>
      <c r="N30" s="26"/>
      <c r="P30" s="1"/>
    </row>
    <row r="31" spans="1:19" x14ac:dyDescent="0.4">
      <c r="A31" s="26" t="s">
        <v>89</v>
      </c>
      <c r="H31" s="5"/>
      <c r="J31" s="41"/>
      <c r="K31" s="2"/>
      <c r="N31" s="2"/>
    </row>
    <row r="32" spans="1:19" x14ac:dyDescent="0.4">
      <c r="A32" s="26" t="s">
        <v>90</v>
      </c>
      <c r="J32" s="28"/>
      <c r="L32" s="36"/>
      <c r="Q32" s="28"/>
    </row>
    <row r="33" spans="1:17" x14ac:dyDescent="0.4">
      <c r="A33" s="26" t="s">
        <v>92</v>
      </c>
      <c r="G33" s="28"/>
      <c r="H33" s="28"/>
      <c r="I33" s="28"/>
      <c r="L33" s="11"/>
      <c r="P33" s="2"/>
      <c r="Q33" s="28"/>
    </row>
    <row r="34" spans="1:17" x14ac:dyDescent="0.4">
      <c r="A34" s="26" t="s">
        <v>93</v>
      </c>
      <c r="I34" s="2"/>
      <c r="L34" s="11"/>
      <c r="Q34" s="28"/>
    </row>
    <row r="35" spans="1:17" x14ac:dyDescent="0.4">
      <c r="L35" s="11"/>
    </row>
    <row r="36" spans="1:17" x14ac:dyDescent="0.4">
      <c r="A36" s="2"/>
      <c r="B36" s="28">
        <f t="shared" ref="B36:H36" si="4">3026-B23</f>
        <v>495.11999999999989</v>
      </c>
      <c r="C36" s="28">
        <f t="shared" si="4"/>
        <v>312.84000000000015</v>
      </c>
      <c r="D36" s="28">
        <f t="shared" si="4"/>
        <v>325.38000000000011</v>
      </c>
      <c r="E36" s="28">
        <f t="shared" si="4"/>
        <v>402.77000000000044</v>
      </c>
      <c r="F36" s="28">
        <f t="shared" si="4"/>
        <v>701.11000000000013</v>
      </c>
      <c r="G36" s="28">
        <f t="shared" si="4"/>
        <v>-733.88999999999987</v>
      </c>
      <c r="H36" s="28">
        <f t="shared" si="4"/>
        <v>993.78</v>
      </c>
      <c r="I36" s="28"/>
      <c r="L36" s="11"/>
    </row>
    <row r="37" spans="1:17" x14ac:dyDescent="0.4">
      <c r="L37" s="11"/>
    </row>
    <row r="38" spans="1:17" x14ac:dyDescent="0.4">
      <c r="L38" s="11"/>
    </row>
    <row r="39" spans="1:17" x14ac:dyDescent="0.4">
      <c r="L39" s="11"/>
    </row>
    <row r="40" spans="1:17" x14ac:dyDescent="0.4">
      <c r="L40" s="11"/>
    </row>
    <row r="41" spans="1:17" x14ac:dyDescent="0.4">
      <c r="L41" s="11"/>
    </row>
    <row r="42" spans="1:17" x14ac:dyDescent="0.4">
      <c r="L42" s="11"/>
    </row>
    <row r="43" spans="1:17" x14ac:dyDescent="0.4">
      <c r="B43" s="6"/>
      <c r="L43" s="14"/>
    </row>
    <row r="44" spans="1:17" x14ac:dyDescent="0.4">
      <c r="L44" s="11"/>
    </row>
    <row r="45" spans="1:17" x14ac:dyDescent="0.4">
      <c r="L45" s="11"/>
    </row>
    <row r="46" spans="1:17" x14ac:dyDescent="0.4">
      <c r="F46" s="1"/>
      <c r="L46" s="12"/>
    </row>
    <row r="47" spans="1:17" x14ac:dyDescent="0.4">
      <c r="F47" s="13"/>
    </row>
    <row r="48" spans="1:17" x14ac:dyDescent="0.4">
      <c r="F48" s="5"/>
    </row>
    <row r="49" spans="6:6" x14ac:dyDescent="0.4">
      <c r="F49" s="5"/>
    </row>
  </sheetData>
  <phoneticPr fontId="3" type="noConversion"/>
  <pageMargins left="0.25" right="0.25" top="1" bottom="1" header="0.5" footer="0.5"/>
  <pageSetup scale="70" orientation="landscape" horizontalDpi="200" verticalDpi="2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27"/>
  <sheetViews>
    <sheetView workbookViewId="0">
      <selection activeCell="F3" sqref="F3"/>
    </sheetView>
  </sheetViews>
  <sheetFormatPr defaultRowHeight="12.7" x14ac:dyDescent="0.4"/>
  <cols>
    <col min="1" max="1" width="28.234375" customWidth="1"/>
    <col min="2" max="2" width="14.1171875" customWidth="1"/>
    <col min="3" max="3" width="10.703125" customWidth="1"/>
    <col min="4" max="4" width="4.703125" customWidth="1"/>
    <col min="9" max="9" width="9.234375" bestFit="1" customWidth="1"/>
    <col min="14" max="14" width="13" customWidth="1"/>
  </cols>
  <sheetData>
    <row r="1" spans="1:16" x14ac:dyDescent="0.4">
      <c r="B1" t="s">
        <v>81</v>
      </c>
      <c r="D1" s="17"/>
      <c r="E1" s="17" t="s">
        <v>47</v>
      </c>
      <c r="F1" s="17" t="s">
        <v>0</v>
      </c>
      <c r="G1" s="17" t="s">
        <v>3</v>
      </c>
      <c r="H1" s="17" t="s">
        <v>10</v>
      </c>
      <c r="I1" s="17" t="s">
        <v>11</v>
      </c>
      <c r="J1" s="17" t="s">
        <v>12</v>
      </c>
      <c r="K1" s="17" t="s">
        <v>13</v>
      </c>
      <c r="L1" s="17"/>
      <c r="M1" s="17"/>
      <c r="N1" s="17" t="s">
        <v>1</v>
      </c>
      <c r="O1" s="17"/>
      <c r="P1" s="17"/>
    </row>
    <row r="2" spans="1:16" x14ac:dyDescent="0.4">
      <c r="A2" t="s">
        <v>70</v>
      </c>
      <c r="B2" s="11">
        <v>4400</v>
      </c>
      <c r="C2" s="2"/>
      <c r="E2" s="1">
        <v>100</v>
      </c>
      <c r="F2" s="1">
        <f>100</f>
        <v>100</v>
      </c>
      <c r="G2" s="1">
        <v>100</v>
      </c>
      <c r="H2" s="1">
        <v>100</v>
      </c>
      <c r="I2" s="1">
        <v>100</v>
      </c>
      <c r="J2" s="1">
        <v>100</v>
      </c>
      <c r="K2" s="1">
        <v>100</v>
      </c>
      <c r="L2" s="1"/>
      <c r="M2" s="1"/>
      <c r="N2" s="5">
        <f>B2-SUM(E2:M2)</f>
        <v>3700</v>
      </c>
      <c r="O2" s="2"/>
    </row>
    <row r="3" spans="1:16" x14ac:dyDescent="0.4">
      <c r="A3" t="s">
        <v>83</v>
      </c>
      <c r="B3" s="12">
        <v>8395</v>
      </c>
      <c r="C3" s="1"/>
      <c r="D3" s="1"/>
      <c r="E3" s="40">
        <v>250</v>
      </c>
      <c r="F3" s="40">
        <v>700</v>
      </c>
      <c r="G3" s="40">
        <v>700</v>
      </c>
      <c r="H3" s="40">
        <v>700</v>
      </c>
      <c r="I3" s="40">
        <v>700</v>
      </c>
      <c r="J3" s="40">
        <v>700</v>
      </c>
      <c r="K3" s="40">
        <v>700</v>
      </c>
      <c r="L3" s="1"/>
      <c r="M3" s="1"/>
      <c r="N3" s="16">
        <f>B3-SUM(E3:K3)</f>
        <v>3945</v>
      </c>
      <c r="O3" s="2"/>
    </row>
    <row r="4" spans="1:16" x14ac:dyDescent="0.4">
      <c r="A4" t="s">
        <v>44</v>
      </c>
      <c r="B4" s="11">
        <f>SUM(B2:B3)</f>
        <v>12795</v>
      </c>
      <c r="C4" s="11"/>
      <c r="D4" s="11"/>
      <c r="E4" s="11">
        <f t="shared" ref="E4:L4" si="0">SUM(E2:E3)</f>
        <v>350</v>
      </c>
      <c r="F4" s="11">
        <f t="shared" si="0"/>
        <v>800</v>
      </c>
      <c r="G4" s="11">
        <f t="shared" si="0"/>
        <v>800</v>
      </c>
      <c r="H4" s="11">
        <f t="shared" si="0"/>
        <v>800</v>
      </c>
      <c r="I4" s="11">
        <f t="shared" si="0"/>
        <v>800</v>
      </c>
      <c r="J4" s="11">
        <f t="shared" si="0"/>
        <v>800</v>
      </c>
      <c r="K4" s="11">
        <f t="shared" si="0"/>
        <v>800</v>
      </c>
      <c r="L4" s="11">
        <f t="shared" si="0"/>
        <v>0</v>
      </c>
      <c r="M4" s="11"/>
      <c r="N4" s="11">
        <f>SUM(N2:N3)</f>
        <v>7645</v>
      </c>
    </row>
    <row r="5" spans="1:16" x14ac:dyDescent="0.4">
      <c r="B5" s="11"/>
      <c r="C5" s="11"/>
    </row>
    <row r="6" spans="1:16" x14ac:dyDescent="0.4">
      <c r="B6" s="11"/>
      <c r="C6" s="11" t="s">
        <v>2</v>
      </c>
    </row>
    <row r="7" spans="1:16" x14ac:dyDescent="0.4">
      <c r="B7" s="7"/>
      <c r="C7" s="10"/>
      <c r="D7" s="2"/>
      <c r="F7" s="2"/>
    </row>
    <row r="8" spans="1:16" x14ac:dyDescent="0.4">
      <c r="B8" s="8"/>
      <c r="C8" s="11"/>
    </row>
    <row r="9" spans="1:16" x14ac:dyDescent="0.4">
      <c r="A9" t="s">
        <v>15</v>
      </c>
      <c r="B9" s="7"/>
      <c r="C9" s="11">
        <f>B4</f>
        <v>12795</v>
      </c>
    </row>
    <row r="10" spans="1:16" x14ac:dyDescent="0.4">
      <c r="B10" s="9"/>
      <c r="C10" s="11"/>
    </row>
    <row r="11" spans="1:16" x14ac:dyDescent="0.4">
      <c r="B11" s="9"/>
      <c r="C11" s="11"/>
    </row>
    <row r="12" spans="1:16" x14ac:dyDescent="0.4">
      <c r="B12" s="9"/>
      <c r="C12" s="11"/>
      <c r="D12" s="2"/>
      <c r="G12" s="2"/>
    </row>
    <row r="13" spans="1:16" x14ac:dyDescent="0.4">
      <c r="A13" t="s">
        <v>63</v>
      </c>
      <c r="B13" s="9">
        <f>E4</f>
        <v>350</v>
      </c>
      <c r="C13" s="11">
        <f t="shared" ref="C13:C19" si="1">C12-B13</f>
        <v>-350</v>
      </c>
    </row>
    <row r="14" spans="1:16" x14ac:dyDescent="0.4">
      <c r="A14" t="s">
        <v>64</v>
      </c>
      <c r="B14" s="11">
        <f>F4</f>
        <v>800</v>
      </c>
      <c r="C14" s="11">
        <f t="shared" si="1"/>
        <v>-1150</v>
      </c>
    </row>
    <row r="15" spans="1:16" x14ac:dyDescent="0.4">
      <c r="A15" t="s">
        <v>65</v>
      </c>
      <c r="B15" s="5">
        <f>G4</f>
        <v>800</v>
      </c>
      <c r="C15" s="11">
        <f t="shared" si="1"/>
        <v>-1950</v>
      </c>
    </row>
    <row r="16" spans="1:16" x14ac:dyDescent="0.4">
      <c r="A16" t="s">
        <v>66</v>
      </c>
      <c r="B16" s="5">
        <f>J4</f>
        <v>800</v>
      </c>
      <c r="C16" s="11">
        <f t="shared" si="1"/>
        <v>-2750</v>
      </c>
      <c r="D16" s="2"/>
    </row>
    <row r="17" spans="1:9" x14ac:dyDescent="0.4">
      <c r="A17" t="s">
        <v>72</v>
      </c>
      <c r="B17" s="30">
        <f>I4</f>
        <v>800</v>
      </c>
      <c r="C17" s="11">
        <f t="shared" si="1"/>
        <v>-3550</v>
      </c>
      <c r="D17" s="2"/>
    </row>
    <row r="18" spans="1:9" x14ac:dyDescent="0.4">
      <c r="A18" t="s">
        <v>79</v>
      </c>
      <c r="B18" s="30">
        <f>J4</f>
        <v>800</v>
      </c>
      <c r="C18" s="11">
        <f t="shared" si="1"/>
        <v>-4350</v>
      </c>
    </row>
    <row r="19" spans="1:9" x14ac:dyDescent="0.4">
      <c r="A19" t="s">
        <v>80</v>
      </c>
      <c r="B19" s="30">
        <f>K4</f>
        <v>800</v>
      </c>
      <c r="C19" s="11">
        <f t="shared" si="1"/>
        <v>-5150</v>
      </c>
      <c r="D19" s="2"/>
      <c r="F19" s="2"/>
      <c r="I19" s="2"/>
    </row>
    <row r="21" spans="1:9" x14ac:dyDescent="0.4">
      <c r="A21" t="s">
        <v>62</v>
      </c>
    </row>
    <row r="22" spans="1:9" x14ac:dyDescent="0.4">
      <c r="A22" t="s">
        <v>61</v>
      </c>
    </row>
    <row r="24" spans="1:9" x14ac:dyDescent="0.4">
      <c r="B24" s="3"/>
    </row>
    <row r="27" spans="1:9" x14ac:dyDescent="0.4">
      <c r="A27" t="s">
        <v>76</v>
      </c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4"/>
  <sheetViews>
    <sheetView workbookViewId="0">
      <selection activeCell="L5" sqref="L5"/>
    </sheetView>
  </sheetViews>
  <sheetFormatPr defaultRowHeight="12.7" x14ac:dyDescent="0.4"/>
  <cols>
    <col min="1" max="1" width="28.234375" customWidth="1"/>
    <col min="2" max="2" width="14.1171875" customWidth="1"/>
    <col min="3" max="3" width="10.703125" customWidth="1"/>
    <col min="4" max="4" width="4.703125" customWidth="1"/>
    <col min="6" max="6" width="9.41015625" bestFit="1" customWidth="1"/>
    <col min="7" max="8" width="9.234375" bestFit="1" customWidth="1"/>
  </cols>
  <sheetData>
    <row r="1" spans="1:9" x14ac:dyDescent="0.4">
      <c r="B1" t="s">
        <v>69</v>
      </c>
      <c r="D1" s="17"/>
      <c r="E1" s="17" t="s">
        <v>13</v>
      </c>
      <c r="F1" s="17" t="s">
        <v>44</v>
      </c>
      <c r="G1" s="17" t="s">
        <v>71</v>
      </c>
      <c r="H1" s="17" t="s">
        <v>44</v>
      </c>
    </row>
    <row r="2" spans="1:9" x14ac:dyDescent="0.4">
      <c r="A2" t="s">
        <v>70</v>
      </c>
      <c r="B2" s="3">
        <v>1164</v>
      </c>
      <c r="C2" s="2"/>
      <c r="E2" s="20">
        <v>50</v>
      </c>
      <c r="F2" s="20">
        <f>B2-SUM(D2:E2)</f>
        <v>1114</v>
      </c>
      <c r="G2" s="20">
        <v>400</v>
      </c>
      <c r="H2" s="20">
        <f>F2-G2</f>
        <v>714</v>
      </c>
      <c r="I2" s="2"/>
    </row>
    <row r="3" spans="1:9" x14ac:dyDescent="0.4">
      <c r="A3" t="s">
        <v>59</v>
      </c>
      <c r="B3" s="3">
        <v>5200</v>
      </c>
      <c r="C3" s="1"/>
      <c r="D3" s="1"/>
      <c r="E3" s="35">
        <v>300</v>
      </c>
      <c r="F3" s="20">
        <f>B3-SUM(D3:E3)</f>
        <v>4900</v>
      </c>
      <c r="G3" s="20">
        <v>500</v>
      </c>
      <c r="H3" s="20">
        <f>F3-G3</f>
        <v>4400</v>
      </c>
    </row>
    <row r="4" spans="1:9" x14ac:dyDescent="0.4">
      <c r="A4" t="s">
        <v>60</v>
      </c>
      <c r="B4" s="11">
        <v>2800</v>
      </c>
      <c r="C4" s="11"/>
      <c r="D4" s="11"/>
      <c r="E4" s="20">
        <v>400</v>
      </c>
      <c r="F4" s="20">
        <f>B4-SUM(D4:E4)</f>
        <v>2400</v>
      </c>
      <c r="G4" s="20"/>
      <c r="H4" s="20">
        <f>F4-G4</f>
        <v>2400</v>
      </c>
    </row>
    <row r="5" spans="1:9" x14ac:dyDescent="0.4">
      <c r="A5" t="s">
        <v>45</v>
      </c>
      <c r="B5" s="12">
        <v>120</v>
      </c>
      <c r="C5" s="12"/>
      <c r="D5" s="12"/>
      <c r="E5" s="22">
        <v>60</v>
      </c>
      <c r="F5" s="22">
        <f>B5-SUM(D5:E5)</f>
        <v>60</v>
      </c>
      <c r="G5" s="33">
        <v>60</v>
      </c>
      <c r="H5" s="22">
        <f>F5-G5</f>
        <v>0</v>
      </c>
    </row>
    <row r="6" spans="1:9" x14ac:dyDescent="0.4">
      <c r="B6" s="11">
        <f>SUM(B2:B5)</f>
        <v>9284</v>
      </c>
      <c r="C6" s="11"/>
      <c r="D6" s="11"/>
      <c r="E6" s="34">
        <f>SUM(E2:E5)</f>
        <v>810</v>
      </c>
      <c r="F6" s="34">
        <f>SUM(F2:F5)</f>
        <v>8474</v>
      </c>
      <c r="G6" s="34">
        <f>SUM(G2:G5)</f>
        <v>960</v>
      </c>
      <c r="H6" s="34">
        <f>SUM(H2:H5)</f>
        <v>7514</v>
      </c>
      <c r="I6" s="2"/>
    </row>
    <row r="7" spans="1:9" x14ac:dyDescent="0.4">
      <c r="B7" s="11"/>
      <c r="C7" s="11"/>
      <c r="F7" s="5"/>
    </row>
    <row r="8" spans="1:9" x14ac:dyDescent="0.4">
      <c r="B8" s="11"/>
      <c r="C8" s="11" t="s">
        <v>2</v>
      </c>
      <c r="E8" s="2"/>
      <c r="F8" s="5"/>
    </row>
    <row r="9" spans="1:9" x14ac:dyDescent="0.4">
      <c r="B9" s="7"/>
      <c r="C9" s="10"/>
      <c r="D9" s="2"/>
      <c r="E9" s="2"/>
    </row>
    <row r="10" spans="1:9" x14ac:dyDescent="0.4">
      <c r="B10" s="8"/>
      <c r="C10" s="11"/>
    </row>
    <row r="11" spans="1:9" x14ac:dyDescent="0.4">
      <c r="A11" t="s">
        <v>15</v>
      </c>
      <c r="B11" s="7"/>
      <c r="C11" s="11">
        <f>B6</f>
        <v>9284</v>
      </c>
    </row>
    <row r="12" spans="1:9" x14ac:dyDescent="0.4">
      <c r="B12" s="9"/>
      <c r="C12" s="11">
        <f>C11-B12</f>
        <v>9284</v>
      </c>
    </row>
    <row r="13" spans="1:9" x14ac:dyDescent="0.4">
      <c r="A13" t="s">
        <v>48</v>
      </c>
      <c r="B13" s="9">
        <f>E6</f>
        <v>810</v>
      </c>
      <c r="C13" s="11">
        <f>C12-B13</f>
        <v>8474</v>
      </c>
    </row>
    <row r="14" spans="1:9" x14ac:dyDescent="0.4">
      <c r="A14" t="s">
        <v>49</v>
      </c>
      <c r="B14" s="9">
        <f>E6</f>
        <v>810</v>
      </c>
      <c r="C14" s="11">
        <f>C13-B14</f>
        <v>7664</v>
      </c>
      <c r="D14" s="2"/>
    </row>
    <row r="15" spans="1:9" x14ac:dyDescent="0.4">
      <c r="B15" s="5"/>
    </row>
    <row r="16" spans="1:9" x14ac:dyDescent="0.4">
      <c r="B16" s="3"/>
    </row>
    <row r="17" spans="1:2" x14ac:dyDescent="0.4">
      <c r="B17" s="5"/>
    </row>
    <row r="20" spans="1:2" x14ac:dyDescent="0.4">
      <c r="B20" s="3"/>
    </row>
    <row r="23" spans="1:2" x14ac:dyDescent="0.4">
      <c r="A23" t="s">
        <v>62</v>
      </c>
    </row>
    <row r="24" spans="1:2" x14ac:dyDescent="0.4">
      <c r="A24" t="s">
        <v>61</v>
      </c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27"/>
  <sheetViews>
    <sheetView workbookViewId="0">
      <selection activeCell="A41" sqref="A41"/>
    </sheetView>
  </sheetViews>
  <sheetFormatPr defaultRowHeight="12.7" x14ac:dyDescent="0.4"/>
  <cols>
    <col min="1" max="1" width="20.41015625" customWidth="1"/>
    <col min="2" max="2" width="14.1171875" customWidth="1"/>
    <col min="3" max="3" width="10.703125" customWidth="1"/>
    <col min="4" max="4" width="10.5859375" customWidth="1"/>
    <col min="5" max="6" width="10.703125" customWidth="1"/>
    <col min="7" max="7" width="11.87890625" customWidth="1"/>
    <col min="8" max="8" width="1" customWidth="1"/>
  </cols>
  <sheetData>
    <row r="1" spans="1:8" x14ac:dyDescent="0.4">
      <c r="B1" t="s">
        <v>14</v>
      </c>
      <c r="E1" t="s">
        <v>4</v>
      </c>
      <c r="F1" t="s">
        <v>5</v>
      </c>
      <c r="G1" t="s">
        <v>1</v>
      </c>
    </row>
    <row r="3" spans="1:8" x14ac:dyDescent="0.4">
      <c r="B3" s="1"/>
      <c r="C3" s="1"/>
      <c r="D3" s="1"/>
      <c r="E3" s="1"/>
      <c r="F3" s="1"/>
      <c r="G3" s="1"/>
    </row>
    <row r="4" spans="1:8" x14ac:dyDescent="0.4">
      <c r="A4" t="s">
        <v>8</v>
      </c>
      <c r="B4" s="3">
        <v>11499</v>
      </c>
      <c r="C4" s="3"/>
      <c r="D4" s="3"/>
      <c r="E4" s="3"/>
      <c r="F4" s="3">
        <f>2750-247.5</f>
        <v>2502.5</v>
      </c>
      <c r="G4" s="3">
        <f>B4-SUM(C4:F4)</f>
        <v>8996.5</v>
      </c>
      <c r="H4" s="2"/>
    </row>
    <row r="5" spans="1:8" x14ac:dyDescent="0.4">
      <c r="A5" t="s">
        <v>9</v>
      </c>
      <c r="B5" s="3">
        <v>1975.79</v>
      </c>
      <c r="C5" s="3"/>
      <c r="D5" s="3"/>
      <c r="E5" s="3"/>
      <c r="F5" s="3">
        <v>50</v>
      </c>
      <c r="G5" s="3">
        <f>B5-SUM(C5:F5)</f>
        <v>1925.79</v>
      </c>
    </row>
    <row r="6" spans="1:8" x14ac:dyDescent="0.4">
      <c r="B6" s="4"/>
      <c r="C6" s="4"/>
      <c r="D6" s="4"/>
      <c r="E6" s="4"/>
      <c r="F6" s="4"/>
      <c r="G6" s="4"/>
    </row>
    <row r="7" spans="1:8" x14ac:dyDescent="0.4">
      <c r="B7" s="3">
        <f>SUM(B4:B6)</f>
        <v>13474.79</v>
      </c>
      <c r="C7" s="3"/>
      <c r="D7" s="3"/>
      <c r="E7" s="3">
        <f>SUM(E4:E6)</f>
        <v>0</v>
      </c>
      <c r="F7" s="3">
        <f>SUM(F4:F6)</f>
        <v>2552.5</v>
      </c>
      <c r="G7" s="3">
        <f>B7-SUM(C7:F7)</f>
        <v>10922.29</v>
      </c>
      <c r="H7" s="2"/>
    </row>
    <row r="8" spans="1:8" x14ac:dyDescent="0.4">
      <c r="B8" s="3"/>
      <c r="C8" s="3"/>
      <c r="D8" s="3"/>
      <c r="E8" s="3"/>
      <c r="F8" s="3"/>
      <c r="G8" s="3"/>
    </row>
    <row r="9" spans="1:8" x14ac:dyDescent="0.4">
      <c r="B9" s="3"/>
      <c r="C9" s="3" t="s">
        <v>2</v>
      </c>
      <c r="D9" s="3"/>
      <c r="E9" s="3"/>
      <c r="F9" s="3"/>
      <c r="G9" s="3"/>
    </row>
    <row r="10" spans="1:8" x14ac:dyDescent="0.4">
      <c r="B10" s="1"/>
      <c r="C10" s="14"/>
      <c r="D10" s="1"/>
      <c r="E10" s="1"/>
      <c r="F10" s="1"/>
      <c r="G10" s="1"/>
    </row>
    <row r="11" spans="1:8" x14ac:dyDescent="0.4">
      <c r="B11" s="13"/>
      <c r="C11" s="14"/>
      <c r="D11" s="1"/>
      <c r="E11" s="1"/>
      <c r="F11" s="1"/>
      <c r="G11" s="1"/>
    </row>
    <row r="12" spans="1:8" x14ac:dyDescent="0.4">
      <c r="A12" s="15">
        <v>40863</v>
      </c>
      <c r="B12" s="1">
        <v>0</v>
      </c>
      <c r="C12" s="3">
        <f>B7</f>
        <v>13474.79</v>
      </c>
      <c r="D12" s="1"/>
      <c r="E12" s="1"/>
      <c r="F12" s="1"/>
      <c r="G12" s="1"/>
    </row>
    <row r="13" spans="1:8" x14ac:dyDescent="0.4">
      <c r="B13" s="5"/>
      <c r="C13" s="3">
        <f>C12</f>
        <v>13474.79</v>
      </c>
      <c r="D13" s="2"/>
    </row>
    <row r="14" spans="1:8" x14ac:dyDescent="0.4">
      <c r="A14" t="s">
        <v>6</v>
      </c>
      <c r="B14" s="5">
        <f>E7</f>
        <v>0</v>
      </c>
      <c r="C14" s="3">
        <f>C13-B14</f>
        <v>13474.79</v>
      </c>
    </row>
    <row r="15" spans="1:8" x14ac:dyDescent="0.4">
      <c r="A15" t="s">
        <v>7</v>
      </c>
      <c r="B15" s="5">
        <f>F7</f>
        <v>2552.5</v>
      </c>
      <c r="C15" s="3">
        <f>C14-B15</f>
        <v>10922.29</v>
      </c>
    </row>
    <row r="16" spans="1:8" x14ac:dyDescent="0.4">
      <c r="B16" s="1"/>
      <c r="C16" s="3"/>
    </row>
    <row r="17" spans="1:6" x14ac:dyDescent="0.4">
      <c r="B17" s="5"/>
      <c r="C17" s="3"/>
    </row>
    <row r="18" spans="1:6" x14ac:dyDescent="0.4">
      <c r="B18" s="5"/>
    </row>
    <row r="19" spans="1:6" x14ac:dyDescent="0.4">
      <c r="B19" s="7"/>
    </row>
    <row r="20" spans="1:6" x14ac:dyDescent="0.4">
      <c r="B20" s="8"/>
    </row>
    <row r="21" spans="1:6" x14ac:dyDescent="0.4">
      <c r="B21" s="7"/>
      <c r="F21" s="2"/>
    </row>
    <row r="22" spans="1:6" x14ac:dyDescent="0.4">
      <c r="B22" s="9"/>
    </row>
    <row r="23" spans="1:6" x14ac:dyDescent="0.4">
      <c r="B23" s="9"/>
    </row>
    <row r="24" spans="1:6" x14ac:dyDescent="0.4">
      <c r="A24" s="6"/>
      <c r="B24" s="9"/>
    </row>
    <row r="25" spans="1:6" x14ac:dyDescent="0.4">
      <c r="B25" s="7"/>
    </row>
    <row r="26" spans="1:6" x14ac:dyDescent="0.4">
      <c r="B26" s="9"/>
    </row>
    <row r="27" spans="1:6" x14ac:dyDescent="0.4">
      <c r="B27" s="5"/>
    </row>
  </sheetData>
  <phoneticPr fontId="3" type="noConversion"/>
  <pageMargins left="0.75" right="0.75" top="1" bottom="1" header="0.5" footer="0.5"/>
  <pageSetup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A53"/>
  <sheetViews>
    <sheetView zoomScaleNormal="100" workbookViewId="0">
      <pane xSplit="1" topLeftCell="S1" activePane="topRight" state="frozen"/>
      <selection pane="topRight" activeCell="Y19" sqref="Y19"/>
    </sheetView>
  </sheetViews>
  <sheetFormatPr defaultRowHeight="12.7" x14ac:dyDescent="0.4"/>
  <cols>
    <col min="1" max="1" width="23.41015625" customWidth="1"/>
    <col min="2" max="2" width="14.5859375" customWidth="1"/>
    <col min="3" max="3" width="5.87890625" hidden="1" customWidth="1"/>
    <col min="4" max="4" width="9.1171875" hidden="1" customWidth="1"/>
    <col min="5" max="5" width="9.5859375" hidden="1" customWidth="1"/>
    <col min="6" max="6" width="9.234375" hidden="1" customWidth="1"/>
    <col min="7" max="7" width="9.1171875" hidden="1" customWidth="1"/>
    <col min="8" max="8" width="9.234375" hidden="1" customWidth="1"/>
    <col min="9" max="9" width="10.234375" hidden="1" customWidth="1"/>
    <col min="10" max="10" width="10.41015625" hidden="1" customWidth="1"/>
    <col min="11" max="12" width="12" hidden="1" customWidth="1"/>
    <col min="13" max="13" width="11.87890625" hidden="1" customWidth="1"/>
    <col min="14" max="15" width="10.234375" hidden="1" customWidth="1"/>
    <col min="16" max="16" width="10.234375" customWidth="1"/>
    <col min="17" max="17" width="11" customWidth="1"/>
    <col min="18" max="19" width="12.703125" customWidth="1"/>
    <col min="20" max="20" width="2.41015625" customWidth="1"/>
    <col min="21" max="21" width="10" customWidth="1"/>
    <col min="22" max="22" width="10.87890625" customWidth="1"/>
    <col min="23" max="23" width="9.234375" customWidth="1"/>
    <col min="24" max="24" width="10.87890625" bestFit="1" customWidth="1"/>
  </cols>
  <sheetData>
    <row r="1" spans="1:27" x14ac:dyDescent="0.4">
      <c r="A1" s="2" t="s">
        <v>30</v>
      </c>
    </row>
    <row r="2" spans="1:27" x14ac:dyDescent="0.4">
      <c r="C2" t="s">
        <v>0</v>
      </c>
      <c r="D2" t="s">
        <v>3</v>
      </c>
      <c r="E2" t="s">
        <v>10</v>
      </c>
      <c r="F2" t="s">
        <v>11</v>
      </c>
      <c r="G2" t="s">
        <v>12</v>
      </c>
      <c r="H2" t="s">
        <v>13</v>
      </c>
      <c r="I2" s="39" t="s">
        <v>40</v>
      </c>
      <c r="J2" s="18" t="s">
        <v>43</v>
      </c>
      <c r="K2" s="39" t="s">
        <v>50</v>
      </c>
      <c r="L2" s="39" t="s">
        <v>51</v>
      </c>
      <c r="M2" s="39" t="s">
        <v>46</v>
      </c>
      <c r="N2" s="39" t="s">
        <v>47</v>
      </c>
      <c r="O2" s="39" t="s">
        <v>0</v>
      </c>
      <c r="P2" s="39" t="s">
        <v>3</v>
      </c>
      <c r="Q2" s="39" t="s">
        <v>10</v>
      </c>
      <c r="R2" s="39" t="s">
        <v>11</v>
      </c>
      <c r="S2" s="39" t="s">
        <v>12</v>
      </c>
      <c r="T2" s="39"/>
      <c r="U2" s="39" t="s">
        <v>13</v>
      </c>
      <c r="V2" t="s">
        <v>57</v>
      </c>
    </row>
    <row r="3" spans="1:27" x14ac:dyDescent="0.4">
      <c r="A3" t="s">
        <v>16</v>
      </c>
      <c r="B3" s="11"/>
      <c r="C3" s="11">
        <v>50</v>
      </c>
      <c r="D3" s="11">
        <v>50</v>
      </c>
      <c r="E3" s="11">
        <v>50</v>
      </c>
      <c r="F3" s="11">
        <v>50</v>
      </c>
      <c r="G3" s="11">
        <v>50</v>
      </c>
      <c r="H3" s="11">
        <v>50</v>
      </c>
      <c r="I3" s="11">
        <v>50</v>
      </c>
      <c r="J3" s="11">
        <v>50</v>
      </c>
      <c r="K3" s="11">
        <v>50</v>
      </c>
      <c r="L3" s="11">
        <v>67</v>
      </c>
      <c r="M3" s="11">
        <v>85.85</v>
      </c>
      <c r="N3" s="11">
        <v>84</v>
      </c>
      <c r="O3" s="11">
        <v>100</v>
      </c>
      <c r="P3" s="11">
        <v>119</v>
      </c>
      <c r="Q3" s="11">
        <v>200</v>
      </c>
      <c r="R3" s="11">
        <v>100</v>
      </c>
      <c r="S3" s="11">
        <v>152</v>
      </c>
      <c r="T3" s="11" t="s">
        <v>68</v>
      </c>
      <c r="U3" s="11">
        <v>100</v>
      </c>
      <c r="V3" s="11"/>
      <c r="W3" t="s">
        <v>54</v>
      </c>
    </row>
    <row r="4" spans="1:27" ht="14.25" customHeight="1" x14ac:dyDescent="0.4">
      <c r="A4" t="s">
        <v>17</v>
      </c>
      <c r="B4" s="11"/>
      <c r="C4" s="11">
        <v>35</v>
      </c>
      <c r="D4" s="11">
        <v>35</v>
      </c>
      <c r="E4" s="11">
        <v>20</v>
      </c>
      <c r="F4" s="11">
        <v>30</v>
      </c>
      <c r="G4" s="11">
        <v>30</v>
      </c>
      <c r="H4" s="11">
        <v>50</v>
      </c>
      <c r="I4" s="11">
        <v>50</v>
      </c>
      <c r="J4" s="11">
        <v>24.89</v>
      </c>
      <c r="K4" s="11">
        <v>35</v>
      </c>
      <c r="L4" s="11">
        <v>35</v>
      </c>
      <c r="M4" s="11">
        <v>35</v>
      </c>
      <c r="N4" s="11">
        <v>35</v>
      </c>
      <c r="O4" s="11">
        <v>35</v>
      </c>
      <c r="P4" s="11">
        <v>35</v>
      </c>
      <c r="Q4" s="14">
        <v>45</v>
      </c>
      <c r="R4" s="11">
        <v>35</v>
      </c>
      <c r="S4" s="11">
        <v>35</v>
      </c>
      <c r="T4" s="11" t="s">
        <v>68</v>
      </c>
      <c r="U4" s="11"/>
      <c r="V4" s="11">
        <v>35</v>
      </c>
    </row>
    <row r="5" spans="1:27" ht="14.25" hidden="1" customHeight="1" x14ac:dyDescent="0.4">
      <c r="A5" t="s">
        <v>78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>
        <v>70</v>
      </c>
      <c r="M5" s="11">
        <v>4.29</v>
      </c>
      <c r="N5" s="11"/>
      <c r="O5" s="11">
        <v>0</v>
      </c>
      <c r="P5" s="11">
        <v>0</v>
      </c>
      <c r="Q5" s="14">
        <v>0</v>
      </c>
      <c r="R5" s="11">
        <v>0</v>
      </c>
      <c r="S5" s="11">
        <v>0</v>
      </c>
      <c r="T5" s="11"/>
      <c r="U5" s="11">
        <v>0</v>
      </c>
      <c r="V5" s="11"/>
    </row>
    <row r="6" spans="1:27" ht="14.25" customHeight="1" x14ac:dyDescent="0.4">
      <c r="A6" t="s">
        <v>82</v>
      </c>
      <c r="B6" s="11"/>
      <c r="C6" s="11"/>
      <c r="D6" s="11"/>
      <c r="E6" s="11"/>
      <c r="F6" s="11"/>
      <c r="G6" s="11"/>
      <c r="H6" s="11"/>
      <c r="I6" s="11">
        <v>300</v>
      </c>
      <c r="J6" s="11">
        <v>300</v>
      </c>
      <c r="K6" s="11">
        <v>300</v>
      </c>
      <c r="L6" s="11">
        <v>300</v>
      </c>
      <c r="M6" s="11">
        <v>600</v>
      </c>
      <c r="N6" s="11">
        <v>40</v>
      </c>
      <c r="O6" s="11">
        <v>720</v>
      </c>
      <c r="P6" s="11">
        <f>737</f>
        <v>737</v>
      </c>
      <c r="Q6" s="11">
        <v>700</v>
      </c>
      <c r="R6" s="11">
        <v>700</v>
      </c>
      <c r="S6" s="11">
        <v>700</v>
      </c>
      <c r="T6" s="11" t="s">
        <v>68</v>
      </c>
      <c r="U6" s="11">
        <v>700</v>
      </c>
    </row>
    <row r="7" spans="1:27" x14ac:dyDescent="0.4">
      <c r="A7" t="s">
        <v>37</v>
      </c>
      <c r="B7" s="11"/>
      <c r="C7" s="11"/>
      <c r="D7" s="11"/>
      <c r="E7" s="11"/>
      <c r="F7" s="11"/>
      <c r="G7" s="11"/>
      <c r="H7" s="11">
        <v>10.48</v>
      </c>
      <c r="I7" s="11">
        <v>41.37</v>
      </c>
      <c r="J7" s="11">
        <v>41.37</v>
      </c>
      <c r="K7" s="11">
        <v>41.37</v>
      </c>
      <c r="L7" s="11">
        <v>41.37</v>
      </c>
      <c r="M7" s="11">
        <v>0</v>
      </c>
      <c r="N7" s="11">
        <v>0</v>
      </c>
      <c r="O7" s="11">
        <v>0</v>
      </c>
      <c r="P7" s="11">
        <v>0</v>
      </c>
      <c r="Q7" s="11">
        <v>4.34</v>
      </c>
      <c r="R7" s="11">
        <v>6</v>
      </c>
      <c r="S7" s="11">
        <v>7</v>
      </c>
      <c r="T7" s="11" t="s">
        <v>68</v>
      </c>
      <c r="U7" s="14">
        <v>7</v>
      </c>
      <c r="V7" s="11">
        <v>17.37</v>
      </c>
    </row>
    <row r="8" spans="1:27" x14ac:dyDescent="0.4">
      <c r="A8" t="s">
        <v>19</v>
      </c>
      <c r="B8" s="11"/>
      <c r="C8" s="11">
        <v>13.69</v>
      </c>
      <c r="D8" s="11">
        <v>14.84</v>
      </c>
      <c r="E8" s="11">
        <v>12.93</v>
      </c>
      <c r="F8" s="11">
        <v>42.76</v>
      </c>
      <c r="G8" s="11">
        <v>12.6</v>
      </c>
      <c r="H8" s="11">
        <v>22.46</v>
      </c>
      <c r="I8" s="11">
        <v>35</v>
      </c>
      <c r="J8" s="11">
        <v>99.81</v>
      </c>
      <c r="K8" s="11">
        <v>97.78</v>
      </c>
      <c r="L8" s="11">
        <v>79.62</v>
      </c>
      <c r="M8" s="11">
        <v>15.92</v>
      </c>
      <c r="N8" s="11">
        <v>15.71</v>
      </c>
      <c r="O8" s="11">
        <v>15.92</v>
      </c>
      <c r="P8" s="11">
        <v>16.68</v>
      </c>
      <c r="Q8" s="14">
        <v>16.22</v>
      </c>
      <c r="R8" s="11">
        <v>16.420000000000002</v>
      </c>
      <c r="S8" s="11">
        <v>16.309999999999999</v>
      </c>
      <c r="T8" s="11" t="s">
        <v>68</v>
      </c>
      <c r="U8" s="14">
        <v>15</v>
      </c>
      <c r="V8" s="11">
        <v>17.13</v>
      </c>
      <c r="W8" s="2"/>
    </row>
    <row r="9" spans="1:27" ht="14.25" customHeight="1" x14ac:dyDescent="0.4">
      <c r="A9" t="s">
        <v>20</v>
      </c>
      <c r="B9" s="11"/>
      <c r="C9" s="11">
        <v>253</v>
      </c>
      <c r="D9" s="11">
        <v>261</v>
      </c>
      <c r="E9" s="11">
        <v>261</v>
      </c>
      <c r="F9" s="11">
        <v>261</v>
      </c>
      <c r="G9" s="11">
        <v>261</v>
      </c>
      <c r="H9" s="11">
        <v>261</v>
      </c>
      <c r="I9" s="11">
        <v>261</v>
      </c>
      <c r="J9" s="11">
        <v>270</v>
      </c>
      <c r="K9" s="11">
        <v>270</v>
      </c>
      <c r="L9" s="11">
        <v>270</v>
      </c>
      <c r="M9" s="11">
        <v>270</v>
      </c>
      <c r="N9" s="11">
        <v>270</v>
      </c>
      <c r="O9" s="11">
        <v>270</v>
      </c>
      <c r="P9" s="11">
        <v>270</v>
      </c>
      <c r="Q9" s="14">
        <v>270</v>
      </c>
      <c r="R9" s="11">
        <v>270</v>
      </c>
      <c r="S9" s="11">
        <v>270</v>
      </c>
      <c r="T9" s="11" t="s">
        <v>68</v>
      </c>
      <c r="U9" s="11">
        <v>270</v>
      </c>
      <c r="V9" s="11">
        <v>261</v>
      </c>
    </row>
    <row r="10" spans="1:27" ht="17.25" customHeight="1" x14ac:dyDescent="0.4">
      <c r="A10" t="s">
        <v>21</v>
      </c>
      <c r="B10" s="11"/>
      <c r="C10" s="11">
        <v>25</v>
      </c>
      <c r="D10" s="11">
        <v>25</v>
      </c>
      <c r="E10" s="11">
        <v>25</v>
      </c>
      <c r="F10" s="11">
        <v>25</v>
      </c>
      <c r="G10" s="11">
        <v>25</v>
      </c>
      <c r="H10" s="11">
        <v>25</v>
      </c>
      <c r="I10" s="11">
        <v>400</v>
      </c>
      <c r="J10" s="11">
        <v>400</v>
      </c>
      <c r="K10" s="11">
        <v>400</v>
      </c>
      <c r="L10" s="11">
        <v>400</v>
      </c>
      <c r="M10" s="11">
        <v>100</v>
      </c>
      <c r="N10" s="11">
        <v>305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/>
      <c r="U10" s="11">
        <v>0</v>
      </c>
      <c r="V10" s="11">
        <v>660</v>
      </c>
      <c r="W10" t="s">
        <v>53</v>
      </c>
    </row>
    <row r="11" spans="1:27" ht="17.25" customHeight="1" x14ac:dyDescent="0.4">
      <c r="A11" t="s">
        <v>24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>
        <v>25</v>
      </c>
      <c r="R11" s="11">
        <v>19.350000000000001</v>
      </c>
      <c r="S11" s="11">
        <v>21.98</v>
      </c>
      <c r="T11" s="11" t="s">
        <v>68</v>
      </c>
      <c r="U11" s="11">
        <v>0</v>
      </c>
      <c r="V11" s="11"/>
    </row>
    <row r="12" spans="1:27" x14ac:dyDescent="0.4">
      <c r="A12" t="s">
        <v>25</v>
      </c>
      <c r="B12" s="11"/>
      <c r="C12" s="11">
        <v>114.27</v>
      </c>
      <c r="D12" s="11">
        <v>117</v>
      </c>
      <c r="E12" s="11">
        <v>166.73</v>
      </c>
      <c r="F12" s="11">
        <v>94.16</v>
      </c>
      <c r="G12" s="11">
        <v>101.88</v>
      </c>
      <c r="H12" s="11">
        <v>133</v>
      </c>
      <c r="I12" s="11">
        <v>113.28</v>
      </c>
      <c r="J12" s="14">
        <v>64.31</v>
      </c>
      <c r="K12" s="11">
        <v>49.1</v>
      </c>
      <c r="L12" s="11">
        <v>45.51</v>
      </c>
      <c r="M12" s="11">
        <v>128.58000000000001</v>
      </c>
      <c r="N12" s="11">
        <v>120.6</v>
      </c>
      <c r="O12" s="11">
        <v>131.59</v>
      </c>
      <c r="P12" s="11">
        <v>162.4</v>
      </c>
      <c r="Q12" s="14">
        <v>120.34</v>
      </c>
      <c r="R12" s="11">
        <v>114.89</v>
      </c>
      <c r="S12" s="11">
        <v>112.15</v>
      </c>
      <c r="T12" s="11" t="s">
        <v>68</v>
      </c>
      <c r="U12" s="14">
        <v>120</v>
      </c>
      <c r="V12" s="11">
        <v>102.58</v>
      </c>
    </row>
    <row r="13" spans="1:27" x14ac:dyDescent="0.4">
      <c r="A13" t="s">
        <v>36</v>
      </c>
      <c r="B13" s="11"/>
      <c r="C13" s="11">
        <v>130</v>
      </c>
      <c r="D13" s="11">
        <v>125</v>
      </c>
      <c r="E13" s="11">
        <v>125</v>
      </c>
      <c r="F13" s="11">
        <v>125</v>
      </c>
      <c r="G13" s="11">
        <v>125</v>
      </c>
      <c r="H13" s="11">
        <v>125</v>
      </c>
      <c r="I13" s="11">
        <v>125</v>
      </c>
      <c r="J13" s="11">
        <v>125</v>
      </c>
      <c r="K13" s="11">
        <v>148</v>
      </c>
      <c r="L13" s="11"/>
      <c r="M13" s="11"/>
      <c r="N13" s="11"/>
      <c r="O13" s="11">
        <v>125</v>
      </c>
      <c r="P13" s="11">
        <v>125</v>
      </c>
      <c r="Q13" s="14">
        <v>125</v>
      </c>
      <c r="R13" s="11">
        <v>125</v>
      </c>
      <c r="S13" s="11">
        <v>125</v>
      </c>
      <c r="T13" s="11" t="s">
        <v>68</v>
      </c>
      <c r="U13" s="11">
        <v>125</v>
      </c>
      <c r="V13" s="11">
        <v>125</v>
      </c>
    </row>
    <row r="14" spans="1:27" x14ac:dyDescent="0.4">
      <c r="A14" t="s">
        <v>35</v>
      </c>
      <c r="B14" s="11"/>
      <c r="C14" s="11"/>
      <c r="D14" s="11"/>
      <c r="E14" s="11"/>
      <c r="F14" s="11">
        <v>50</v>
      </c>
      <c r="G14" s="11">
        <v>50</v>
      </c>
      <c r="H14" s="11">
        <v>50</v>
      </c>
      <c r="I14" s="11">
        <v>56</v>
      </c>
      <c r="J14" s="11"/>
      <c r="K14" s="11"/>
      <c r="L14" s="11"/>
      <c r="M14" s="11"/>
      <c r="N14" s="11"/>
      <c r="O14" s="11">
        <v>0</v>
      </c>
      <c r="P14" s="11"/>
      <c r="Q14" s="14"/>
      <c r="R14" s="11">
        <v>100</v>
      </c>
      <c r="S14" s="11">
        <v>50</v>
      </c>
      <c r="T14" s="11" t="s">
        <v>68</v>
      </c>
      <c r="U14" s="11"/>
      <c r="V14" s="11">
        <v>0</v>
      </c>
    </row>
    <row r="15" spans="1:27" x14ac:dyDescent="0.4">
      <c r="A15" t="s">
        <v>26</v>
      </c>
      <c r="B15" s="11"/>
      <c r="C15" s="11">
        <v>141.44</v>
      </c>
      <c r="D15" s="11">
        <v>164.3</v>
      </c>
      <c r="E15" s="11">
        <v>164.36</v>
      </c>
      <c r="F15" s="11">
        <v>164.36</v>
      </c>
      <c r="G15" s="11">
        <v>164.72</v>
      </c>
      <c r="H15" s="11">
        <v>164.73</v>
      </c>
      <c r="I15" s="11">
        <v>165.68</v>
      </c>
      <c r="J15" s="14">
        <v>165.73</v>
      </c>
      <c r="K15" s="11">
        <v>81.78</v>
      </c>
      <c r="L15" s="11">
        <v>148.13</v>
      </c>
      <c r="M15" s="11">
        <v>163.36000000000001</v>
      </c>
      <c r="N15" s="11">
        <v>183.87</v>
      </c>
      <c r="O15" s="11">
        <v>183.87</v>
      </c>
      <c r="P15" s="11">
        <v>183.68</v>
      </c>
      <c r="Q15" s="14">
        <v>183.68</v>
      </c>
      <c r="R15" s="11">
        <v>183.68</v>
      </c>
      <c r="S15" s="11">
        <v>183.77</v>
      </c>
      <c r="T15" s="11" t="s">
        <v>68</v>
      </c>
      <c r="U15" s="14">
        <v>165</v>
      </c>
      <c r="V15" s="11">
        <v>144.03</v>
      </c>
      <c r="X15" s="2"/>
      <c r="AA15" s="2"/>
    </row>
    <row r="16" spans="1:27" x14ac:dyDescent="0.4">
      <c r="A16" t="s">
        <v>27</v>
      </c>
      <c r="B16" s="11"/>
      <c r="C16" s="11">
        <v>132.56</v>
      </c>
      <c r="D16" s="11">
        <v>132.31</v>
      </c>
      <c r="E16" s="11">
        <v>139.11000000000001</v>
      </c>
      <c r="F16" s="11">
        <v>138.05000000000001</v>
      </c>
      <c r="G16" s="11">
        <v>142.30000000000001</v>
      </c>
      <c r="H16" s="11">
        <v>132.63</v>
      </c>
      <c r="I16" s="11">
        <v>102.01</v>
      </c>
      <c r="J16" s="11">
        <v>98.01</v>
      </c>
      <c r="K16" s="11">
        <v>100.66</v>
      </c>
      <c r="L16" s="11">
        <v>99.46</v>
      </c>
      <c r="M16" s="11">
        <v>100.09</v>
      </c>
      <c r="N16" s="11">
        <v>100.09</v>
      </c>
      <c r="O16" s="11">
        <v>100.09</v>
      </c>
      <c r="P16" s="11">
        <v>100.04</v>
      </c>
      <c r="Q16" s="14">
        <v>99.98</v>
      </c>
      <c r="R16" s="11">
        <v>99.98</v>
      </c>
      <c r="S16" s="11">
        <v>100</v>
      </c>
      <c r="T16" s="11" t="s">
        <v>68</v>
      </c>
      <c r="U16" s="14">
        <v>100</v>
      </c>
      <c r="V16" s="11">
        <v>142.16</v>
      </c>
      <c r="X16" s="2"/>
    </row>
    <row r="17" spans="1:26" x14ac:dyDescent="0.4">
      <c r="A17" t="s">
        <v>28</v>
      </c>
      <c r="B17" s="11"/>
      <c r="C17" s="11"/>
      <c r="D17" s="11"/>
      <c r="E17" s="11">
        <v>257.76</v>
      </c>
      <c r="F17" s="11"/>
      <c r="G17" s="11"/>
      <c r="H17" s="11">
        <v>240</v>
      </c>
      <c r="I17" s="11"/>
      <c r="J17" s="11"/>
      <c r="K17" s="11"/>
      <c r="L17" s="11"/>
      <c r="M17" s="11"/>
      <c r="N17" s="11">
        <v>92</v>
      </c>
      <c r="O17" s="11"/>
      <c r="P17" s="11"/>
      <c r="Q17" s="14">
        <v>100</v>
      </c>
      <c r="R17" s="11"/>
      <c r="S17" s="11"/>
      <c r="T17" s="11"/>
      <c r="U17" s="11"/>
      <c r="V17" s="11">
        <v>50</v>
      </c>
    </row>
    <row r="18" spans="1:26" x14ac:dyDescent="0.4">
      <c r="A18" t="s">
        <v>29</v>
      </c>
      <c r="B18" s="11"/>
      <c r="C18" s="12">
        <v>460</v>
      </c>
      <c r="D18" s="12">
        <v>460</v>
      </c>
      <c r="E18" s="12">
        <v>460</v>
      </c>
      <c r="F18" s="12">
        <v>460</v>
      </c>
      <c r="G18" s="12">
        <v>460</v>
      </c>
      <c r="H18" s="12">
        <v>460</v>
      </c>
      <c r="I18" s="12">
        <v>470</v>
      </c>
      <c r="J18" s="12">
        <v>470</v>
      </c>
      <c r="K18" s="12">
        <v>470</v>
      </c>
      <c r="L18" s="12">
        <f>470+80</f>
        <v>550</v>
      </c>
      <c r="M18" s="12">
        <v>470</v>
      </c>
      <c r="N18" s="12">
        <v>470</v>
      </c>
      <c r="O18" s="12">
        <f>485+156.59</f>
        <v>641.59</v>
      </c>
      <c r="P18" s="12">
        <v>485</v>
      </c>
      <c r="Q18" s="12">
        <f>485-78</f>
        <v>407</v>
      </c>
      <c r="R18" s="12">
        <v>485</v>
      </c>
      <c r="S18" s="12">
        <v>485</v>
      </c>
      <c r="T18" s="11" t="s">
        <v>68</v>
      </c>
      <c r="U18" s="12">
        <v>485</v>
      </c>
      <c r="V18" s="12">
        <v>460</v>
      </c>
    </row>
    <row r="19" spans="1:26" x14ac:dyDescent="0.4">
      <c r="A19" s="2"/>
      <c r="B19" s="11"/>
      <c r="C19" s="11">
        <f t="shared" ref="C19:U19" si="0">SUM(C3:C18)</f>
        <v>1354.96</v>
      </c>
      <c r="D19" s="11">
        <f t="shared" si="0"/>
        <v>1384.45</v>
      </c>
      <c r="E19" s="11">
        <f t="shared" si="0"/>
        <v>1681.8899999999999</v>
      </c>
      <c r="F19" s="11">
        <f t="shared" si="0"/>
        <v>1440.33</v>
      </c>
      <c r="G19" s="11">
        <f t="shared" si="0"/>
        <v>1422.5</v>
      </c>
      <c r="H19" s="11">
        <f t="shared" si="0"/>
        <v>1724.3000000000002</v>
      </c>
      <c r="I19" s="36">
        <f t="shared" si="0"/>
        <v>2169.34</v>
      </c>
      <c r="J19" s="36">
        <f t="shared" si="0"/>
        <v>2109.12</v>
      </c>
      <c r="K19" s="36">
        <f t="shared" si="0"/>
        <v>2043.69</v>
      </c>
      <c r="L19" s="36">
        <f t="shared" si="0"/>
        <v>2106.09</v>
      </c>
      <c r="M19" s="36">
        <f t="shared" si="0"/>
        <v>1973.09</v>
      </c>
      <c r="N19" s="36">
        <f t="shared" si="0"/>
        <v>1716.27</v>
      </c>
      <c r="O19" s="36">
        <f t="shared" si="0"/>
        <v>2323.06</v>
      </c>
      <c r="P19" s="36">
        <f t="shared" si="0"/>
        <v>2233.8000000000002</v>
      </c>
      <c r="Q19" s="36">
        <f t="shared" si="0"/>
        <v>2296.56</v>
      </c>
      <c r="R19" s="36">
        <f t="shared" si="0"/>
        <v>2255.3200000000002</v>
      </c>
      <c r="S19" s="36">
        <f t="shared" si="0"/>
        <v>2258.21</v>
      </c>
      <c r="T19" s="36"/>
      <c r="U19" s="36">
        <f t="shared" si="0"/>
        <v>2087</v>
      </c>
      <c r="V19" s="36">
        <f>SUM(V3:V18)</f>
        <v>2014.27</v>
      </c>
    </row>
    <row r="20" spans="1:26" x14ac:dyDescent="0.4">
      <c r="A20" t="s">
        <v>31</v>
      </c>
      <c r="B20" s="11"/>
      <c r="C20" s="11"/>
      <c r="D20" s="11"/>
      <c r="E20" s="11"/>
      <c r="F20" s="11"/>
      <c r="G20" s="11"/>
      <c r="H20" s="11"/>
      <c r="I20" s="11"/>
      <c r="J20" s="11"/>
      <c r="N20" s="2"/>
      <c r="O20" s="2"/>
      <c r="P20" s="2"/>
      <c r="Q20" s="2"/>
      <c r="R20" s="2"/>
      <c r="S20" s="2"/>
      <c r="T20" s="2"/>
      <c r="U20" s="2"/>
    </row>
    <row r="21" spans="1:26" x14ac:dyDescent="0.4">
      <c r="A21" t="s">
        <v>32</v>
      </c>
      <c r="B21" s="11"/>
      <c r="C21" s="11">
        <v>189</v>
      </c>
      <c r="D21" s="11">
        <v>189</v>
      </c>
      <c r="E21" s="11">
        <v>189</v>
      </c>
      <c r="F21" s="11">
        <v>120</v>
      </c>
      <c r="G21" s="11">
        <v>120</v>
      </c>
      <c r="H21" s="11">
        <v>120</v>
      </c>
      <c r="I21" s="34"/>
      <c r="J21" s="34"/>
      <c r="K21" s="21"/>
      <c r="L21" s="34">
        <v>120</v>
      </c>
      <c r="M21" s="1">
        <v>60</v>
      </c>
      <c r="N21" s="1">
        <v>60</v>
      </c>
      <c r="O21" s="1">
        <v>60</v>
      </c>
      <c r="P21" s="1">
        <v>60</v>
      </c>
      <c r="Q21" s="1"/>
      <c r="R21" s="1"/>
      <c r="S21" s="1"/>
      <c r="T21" s="1"/>
      <c r="U21" s="1"/>
    </row>
    <row r="22" spans="1:26" x14ac:dyDescent="0.4">
      <c r="A22" t="s">
        <v>33</v>
      </c>
      <c r="B22" s="11"/>
      <c r="C22" s="11">
        <v>300</v>
      </c>
      <c r="D22" s="11">
        <v>300</v>
      </c>
      <c r="E22" s="11">
        <v>300</v>
      </c>
      <c r="F22" s="11">
        <v>300</v>
      </c>
      <c r="G22" s="11">
        <v>300</v>
      </c>
      <c r="H22" s="11">
        <v>300</v>
      </c>
      <c r="I22" s="34">
        <v>300</v>
      </c>
      <c r="J22" s="34">
        <v>300</v>
      </c>
      <c r="K22" s="34">
        <v>300</v>
      </c>
      <c r="L22" s="34">
        <v>300</v>
      </c>
      <c r="M22" s="37">
        <v>300</v>
      </c>
      <c r="N22" s="37">
        <v>300</v>
      </c>
      <c r="O22" s="37">
        <v>300</v>
      </c>
      <c r="P22" s="37">
        <v>300</v>
      </c>
      <c r="Q22" s="37">
        <v>300</v>
      </c>
      <c r="R22" s="37">
        <v>300</v>
      </c>
      <c r="S22" s="37">
        <v>300</v>
      </c>
      <c r="T22" s="37"/>
      <c r="U22" s="37">
        <v>300</v>
      </c>
      <c r="V22" s="34">
        <v>350</v>
      </c>
      <c r="Y22" s="2"/>
    </row>
    <row r="23" spans="1:26" x14ac:dyDescent="0.4">
      <c r="A23" t="s">
        <v>34</v>
      </c>
      <c r="B23" s="11"/>
      <c r="C23" s="12">
        <v>120</v>
      </c>
      <c r="D23" s="12">
        <v>120</v>
      </c>
      <c r="E23" s="12">
        <v>120</v>
      </c>
      <c r="F23" s="12">
        <v>120</v>
      </c>
      <c r="G23" s="12">
        <v>120</v>
      </c>
      <c r="H23" s="12">
        <v>120</v>
      </c>
      <c r="I23" s="38">
        <v>120</v>
      </c>
      <c r="J23" s="38">
        <v>120</v>
      </c>
      <c r="K23" s="23">
        <v>120</v>
      </c>
      <c r="L23" s="23">
        <v>120</v>
      </c>
      <c r="M23" s="19">
        <v>120</v>
      </c>
      <c r="N23" s="19">
        <v>120</v>
      </c>
      <c r="O23" s="19">
        <v>120</v>
      </c>
      <c r="P23" s="19">
        <v>120</v>
      </c>
      <c r="Q23" s="19">
        <v>120</v>
      </c>
      <c r="R23" s="19">
        <v>120</v>
      </c>
      <c r="S23" s="19">
        <v>120</v>
      </c>
      <c r="T23" s="19"/>
      <c r="U23" s="19">
        <v>120</v>
      </c>
      <c r="V23" s="27">
        <v>100</v>
      </c>
      <c r="W23" t="s">
        <v>55</v>
      </c>
      <c r="X23" t="s">
        <v>56</v>
      </c>
    </row>
    <row r="24" spans="1:26" x14ac:dyDescent="0.4">
      <c r="B24" s="11"/>
      <c r="C24" s="11">
        <f t="shared" ref="C24:U24" si="1">C19+SUM(C21:C23)</f>
        <v>1963.96</v>
      </c>
      <c r="D24" s="11">
        <f t="shared" si="1"/>
        <v>1993.45</v>
      </c>
      <c r="E24" s="11">
        <f t="shared" si="1"/>
        <v>2290.89</v>
      </c>
      <c r="F24" s="11">
        <f t="shared" si="1"/>
        <v>1980.33</v>
      </c>
      <c r="G24" s="11">
        <f t="shared" si="1"/>
        <v>1962.5</v>
      </c>
      <c r="H24" s="11">
        <f t="shared" si="1"/>
        <v>2264.3000000000002</v>
      </c>
      <c r="I24" s="36">
        <f t="shared" si="1"/>
        <v>2589.34</v>
      </c>
      <c r="J24" s="36">
        <f t="shared" si="1"/>
        <v>2529.12</v>
      </c>
      <c r="K24" s="36">
        <f t="shared" si="1"/>
        <v>2463.69</v>
      </c>
      <c r="L24" s="36">
        <f t="shared" si="1"/>
        <v>2646.09</v>
      </c>
      <c r="M24" s="36">
        <f t="shared" si="1"/>
        <v>2453.09</v>
      </c>
      <c r="N24" s="36">
        <f t="shared" si="1"/>
        <v>2196.27</v>
      </c>
      <c r="O24" s="36">
        <f t="shared" si="1"/>
        <v>2803.06</v>
      </c>
      <c r="P24" s="36">
        <f t="shared" si="1"/>
        <v>2713.8</v>
      </c>
      <c r="Q24" s="36">
        <f t="shared" si="1"/>
        <v>2716.56</v>
      </c>
      <c r="R24" s="36">
        <f t="shared" si="1"/>
        <v>2675.32</v>
      </c>
      <c r="S24" s="36">
        <f t="shared" si="1"/>
        <v>2678.21</v>
      </c>
      <c r="T24" s="36"/>
      <c r="U24" s="36">
        <f t="shared" si="1"/>
        <v>2507</v>
      </c>
      <c r="V24" s="36">
        <f>V19+SUM(V21:V23)</f>
        <v>2464.27</v>
      </c>
      <c r="W24" s="29"/>
    </row>
    <row r="25" spans="1:26" x14ac:dyDescent="0.4">
      <c r="B25" s="11"/>
      <c r="C25" s="11"/>
      <c r="D25" s="11"/>
      <c r="E25" s="11"/>
      <c r="F25" s="11"/>
      <c r="G25" s="11"/>
      <c r="H25" s="11"/>
      <c r="I25" s="11"/>
      <c r="J25" s="11"/>
      <c r="K25" s="5"/>
      <c r="O25" s="26"/>
      <c r="P25" s="26"/>
      <c r="Q25" s="2"/>
      <c r="R25" s="2"/>
      <c r="S25" s="2"/>
      <c r="T25" s="2"/>
      <c r="U25" s="2"/>
    </row>
    <row r="26" spans="1:26" x14ac:dyDescent="0.4">
      <c r="A26" t="s">
        <v>77</v>
      </c>
      <c r="B26" s="11"/>
      <c r="C26" s="11"/>
      <c r="D26" s="11"/>
      <c r="E26" s="11"/>
      <c r="F26" s="11"/>
      <c r="G26" s="11"/>
      <c r="H26" s="11"/>
      <c r="I26" s="11"/>
      <c r="J26" s="11"/>
      <c r="K26" s="5"/>
      <c r="L26">
        <v>3026.83</v>
      </c>
      <c r="M26">
        <v>3026.83</v>
      </c>
      <c r="N26">
        <v>3026.83</v>
      </c>
      <c r="O26">
        <v>3026.83</v>
      </c>
      <c r="P26">
        <v>3026.83</v>
      </c>
      <c r="Q26">
        <f>3026.83+78</f>
        <v>3104.83</v>
      </c>
      <c r="R26">
        <v>3026.83</v>
      </c>
      <c r="S26">
        <v>3026.83</v>
      </c>
      <c r="U26">
        <v>3026.83</v>
      </c>
      <c r="Y26" s="2"/>
    </row>
    <row r="27" spans="1:26" x14ac:dyDescent="0.4">
      <c r="B27" s="11"/>
      <c r="C27" s="11"/>
      <c r="D27" s="11"/>
      <c r="E27" s="11"/>
      <c r="F27" s="11"/>
      <c r="G27" s="11"/>
      <c r="H27" s="11"/>
      <c r="I27" s="11"/>
      <c r="J27" s="11"/>
      <c r="K27" s="5"/>
      <c r="Y27" s="2"/>
    </row>
    <row r="28" spans="1:26" x14ac:dyDescent="0.4">
      <c r="A28" s="2"/>
      <c r="B28" s="11"/>
      <c r="C28" s="11"/>
      <c r="D28" s="11"/>
      <c r="E28" s="11"/>
      <c r="F28" s="11"/>
      <c r="G28" s="11"/>
      <c r="H28" s="11"/>
      <c r="I28" s="11"/>
      <c r="J28" s="11"/>
      <c r="K28" s="5"/>
      <c r="L28" s="28">
        <f t="shared" ref="L28:U28" si="2">L26-L24</f>
        <v>380.73999999999978</v>
      </c>
      <c r="M28" s="28">
        <f t="shared" si="2"/>
        <v>573.73999999999978</v>
      </c>
      <c r="N28" s="28">
        <f t="shared" si="2"/>
        <v>830.56</v>
      </c>
      <c r="O28" s="28">
        <f t="shared" si="2"/>
        <v>223.76999999999998</v>
      </c>
      <c r="P28" s="28">
        <f t="shared" si="2"/>
        <v>313.02999999999975</v>
      </c>
      <c r="Q28" s="28">
        <f t="shared" si="2"/>
        <v>388.27</v>
      </c>
      <c r="R28" s="28">
        <f t="shared" si="2"/>
        <v>351.50999999999976</v>
      </c>
      <c r="S28" s="28">
        <f t="shared" si="2"/>
        <v>348.61999999999989</v>
      </c>
      <c r="T28" s="28"/>
      <c r="U28" s="28">
        <f t="shared" si="2"/>
        <v>519.82999999999993</v>
      </c>
      <c r="Y28" s="2"/>
    </row>
    <row r="29" spans="1:26" x14ac:dyDescent="0.4">
      <c r="B29" s="11"/>
      <c r="C29" s="11"/>
      <c r="D29" s="11"/>
      <c r="E29" s="11"/>
      <c r="F29" s="11"/>
      <c r="G29" s="11"/>
      <c r="H29" s="11"/>
      <c r="I29" s="11"/>
      <c r="J29" s="11"/>
      <c r="K29" s="5"/>
      <c r="Y29" s="2"/>
    </row>
    <row r="30" spans="1:26" x14ac:dyDescent="0.4">
      <c r="B30" s="11"/>
      <c r="C30" s="11"/>
      <c r="D30" s="11"/>
      <c r="E30" s="11"/>
      <c r="F30" s="11"/>
      <c r="G30" s="11"/>
      <c r="H30" s="11"/>
      <c r="I30" s="11"/>
      <c r="J30" s="11"/>
      <c r="K30" s="5"/>
      <c r="Y30" s="2"/>
      <c r="Z30" s="2"/>
    </row>
    <row r="31" spans="1:26" x14ac:dyDescent="0.4">
      <c r="P31" s="2"/>
      <c r="U31" s="2"/>
      <c r="W31" s="1"/>
    </row>
    <row r="32" spans="1:26" x14ac:dyDescent="0.4">
      <c r="A32" s="26" t="s">
        <v>74</v>
      </c>
    </row>
    <row r="33" spans="1:24" x14ac:dyDescent="0.4">
      <c r="A33" s="26" t="s">
        <v>75</v>
      </c>
      <c r="F33" s="5"/>
      <c r="X33" s="28"/>
    </row>
    <row r="34" spans="1:24" x14ac:dyDescent="0.4">
      <c r="A34" s="26" t="s">
        <v>84</v>
      </c>
      <c r="C34" s="1"/>
      <c r="N34" s="28"/>
      <c r="O34" s="28"/>
      <c r="P34" s="28"/>
      <c r="W34" s="2"/>
      <c r="X34" s="28"/>
    </row>
    <row r="35" spans="1:24" x14ac:dyDescent="0.4">
      <c r="A35" s="2" t="s">
        <v>85</v>
      </c>
      <c r="C35" s="1"/>
      <c r="P35" s="2"/>
      <c r="X35" s="28"/>
    </row>
    <row r="36" spans="1:24" x14ac:dyDescent="0.4">
      <c r="C36" s="1"/>
      <c r="D36" s="5"/>
    </row>
    <row r="37" spans="1:24" x14ac:dyDescent="0.4">
      <c r="A37" s="2"/>
      <c r="C37" s="1"/>
      <c r="I37" s="28">
        <f t="shared" ref="I37:O37" si="3">3026-I24</f>
        <v>436.65999999999985</v>
      </c>
      <c r="J37" s="28">
        <f t="shared" si="3"/>
        <v>496.88000000000011</v>
      </c>
      <c r="K37" s="28">
        <f t="shared" si="3"/>
        <v>562.30999999999995</v>
      </c>
      <c r="L37" s="28">
        <f t="shared" si="3"/>
        <v>379.90999999999985</v>
      </c>
      <c r="M37" s="28">
        <f t="shared" si="3"/>
        <v>572.90999999999985</v>
      </c>
      <c r="N37" s="28">
        <f t="shared" si="3"/>
        <v>829.73</v>
      </c>
      <c r="O37" s="28">
        <f t="shared" si="3"/>
        <v>222.94000000000005</v>
      </c>
      <c r="P37" s="28"/>
    </row>
    <row r="38" spans="1:24" x14ac:dyDescent="0.4">
      <c r="C38" s="1"/>
    </row>
    <row r="39" spans="1:24" x14ac:dyDescent="0.4">
      <c r="C39" s="1"/>
    </row>
    <row r="40" spans="1:24" x14ac:dyDescent="0.4">
      <c r="C40" s="1"/>
    </row>
    <row r="41" spans="1:24" x14ac:dyDescent="0.4">
      <c r="C41" s="1"/>
    </row>
    <row r="42" spans="1:24" x14ac:dyDescent="0.4">
      <c r="C42" s="1"/>
    </row>
    <row r="43" spans="1:24" x14ac:dyDescent="0.4">
      <c r="C43" s="1"/>
    </row>
    <row r="44" spans="1:24" x14ac:dyDescent="0.4">
      <c r="C44" s="1"/>
    </row>
    <row r="45" spans="1:24" x14ac:dyDescent="0.4">
      <c r="C45" s="1"/>
    </row>
    <row r="46" spans="1:24" x14ac:dyDescent="0.4">
      <c r="C46" s="1"/>
    </row>
    <row r="47" spans="1:24" x14ac:dyDescent="0.4">
      <c r="C47" s="1"/>
      <c r="M47" s="1"/>
    </row>
    <row r="48" spans="1:24" x14ac:dyDescent="0.4">
      <c r="C48" s="1"/>
      <c r="M48" s="13"/>
    </row>
    <row r="49" spans="3:13" x14ac:dyDescent="0.4">
      <c r="C49" s="1"/>
      <c r="M49" s="5"/>
    </row>
    <row r="50" spans="3:13" x14ac:dyDescent="0.4">
      <c r="C50" s="1"/>
      <c r="M50" s="5"/>
    </row>
    <row r="51" spans="3:13" x14ac:dyDescent="0.4">
      <c r="C51" s="1"/>
    </row>
    <row r="52" spans="3:13" x14ac:dyDescent="0.4">
      <c r="C52" s="1"/>
    </row>
    <row r="53" spans="3:13" x14ac:dyDescent="0.4">
      <c r="C53" s="1"/>
    </row>
  </sheetData>
  <phoneticPr fontId="3" type="noConversion"/>
  <pageMargins left="0.75" right="0.75" top="1" bottom="1" header="0.5" footer="0.5"/>
  <pageSetup scale="81" orientation="landscape" horizontalDpi="200" verticalDpi="2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AA52"/>
  <sheetViews>
    <sheetView workbookViewId="0">
      <pane xSplit="1" topLeftCell="I1" activePane="topRight" state="frozen"/>
      <selection pane="topRight" activeCell="A17" sqref="A17:IV17"/>
    </sheetView>
  </sheetViews>
  <sheetFormatPr defaultRowHeight="12.7" x14ac:dyDescent="0.4"/>
  <cols>
    <col min="1" max="1" width="23.41015625" customWidth="1"/>
    <col min="2" max="3" width="0.1171875" hidden="1" customWidth="1"/>
    <col min="4" max="4" width="9.1171875" hidden="1" customWidth="1"/>
    <col min="5" max="5" width="9.5859375" hidden="1" customWidth="1"/>
    <col min="6" max="6" width="9.234375" hidden="1" customWidth="1"/>
    <col min="7" max="7" width="9.1171875" hidden="1" customWidth="1"/>
    <col min="8" max="8" width="9.234375" hidden="1" customWidth="1"/>
    <col min="9" max="9" width="11.1171875" customWidth="1"/>
    <col min="10" max="10" width="10.5859375" customWidth="1"/>
    <col min="11" max="11" width="12" customWidth="1"/>
    <col min="12" max="12" width="10.5859375" customWidth="1"/>
    <col min="13" max="13" width="11.87890625" customWidth="1"/>
    <col min="14" max="14" width="11.1171875" customWidth="1"/>
    <col min="15" max="15" width="11.41015625" customWidth="1"/>
    <col min="16" max="16" width="10.703125" customWidth="1"/>
    <col min="17" max="17" width="11.5859375" customWidth="1"/>
    <col min="18" max="18" width="12.41015625" customWidth="1"/>
    <col min="19" max="19" width="11.1171875" customWidth="1"/>
    <col min="20" max="20" width="10" customWidth="1"/>
    <col min="21" max="21" width="2.703125" customWidth="1"/>
    <col min="22" max="22" width="10.87890625" customWidth="1"/>
    <col min="23" max="23" width="9.234375" customWidth="1"/>
    <col min="24" max="24" width="10.87890625" bestFit="1" customWidth="1"/>
  </cols>
  <sheetData>
    <row r="1" spans="1:23" x14ac:dyDescent="0.4">
      <c r="A1" t="s">
        <v>30</v>
      </c>
    </row>
    <row r="2" spans="1:23" x14ac:dyDescent="0.4">
      <c r="C2" t="s">
        <v>0</v>
      </c>
      <c r="D2" t="s">
        <v>3</v>
      </c>
      <c r="E2" t="s">
        <v>10</v>
      </c>
      <c r="F2" t="s">
        <v>11</v>
      </c>
      <c r="G2" t="s">
        <v>12</v>
      </c>
      <c r="H2" t="s">
        <v>13</v>
      </c>
      <c r="I2" t="s">
        <v>40</v>
      </c>
      <c r="J2" t="s">
        <v>43</v>
      </c>
      <c r="K2" s="17" t="s">
        <v>50</v>
      </c>
      <c r="L2" s="17" t="s">
        <v>51</v>
      </c>
      <c r="M2" s="17" t="s">
        <v>46</v>
      </c>
      <c r="N2" s="17" t="s">
        <v>47</v>
      </c>
      <c r="O2" s="17" t="s">
        <v>0</v>
      </c>
      <c r="P2" s="17" t="s">
        <v>3</v>
      </c>
      <c r="Q2" s="17" t="s">
        <v>10</v>
      </c>
      <c r="R2" s="17" t="s">
        <v>11</v>
      </c>
      <c r="S2" s="17" t="s">
        <v>12</v>
      </c>
      <c r="T2" s="17" t="s">
        <v>13</v>
      </c>
      <c r="U2" s="17"/>
      <c r="V2" t="s">
        <v>57</v>
      </c>
    </row>
    <row r="3" spans="1:23" x14ac:dyDescent="0.4">
      <c r="A3" t="s">
        <v>16</v>
      </c>
      <c r="B3" s="3"/>
      <c r="C3" s="3">
        <v>50</v>
      </c>
      <c r="D3" s="3">
        <v>50</v>
      </c>
      <c r="E3" s="3">
        <v>50</v>
      </c>
      <c r="F3" s="3">
        <v>50</v>
      </c>
      <c r="G3" s="3">
        <v>50</v>
      </c>
      <c r="H3" s="3">
        <v>50</v>
      </c>
      <c r="I3" s="3">
        <f>130+530</f>
        <v>660</v>
      </c>
      <c r="J3" s="3">
        <v>365</v>
      </c>
      <c r="K3" s="3">
        <v>300</v>
      </c>
      <c r="L3" s="3">
        <v>300</v>
      </c>
      <c r="M3" s="3">
        <v>200</v>
      </c>
      <c r="N3" s="3">
        <v>200</v>
      </c>
      <c r="O3" s="3">
        <v>200</v>
      </c>
      <c r="P3" s="3" t="s">
        <v>67</v>
      </c>
      <c r="Q3" s="14">
        <v>35</v>
      </c>
      <c r="R3" s="3">
        <v>35</v>
      </c>
      <c r="S3" s="3">
        <v>50</v>
      </c>
      <c r="T3" s="3">
        <v>450</v>
      </c>
      <c r="U3" s="3" t="s">
        <v>68</v>
      </c>
      <c r="V3" s="3"/>
      <c r="W3" t="s">
        <v>54</v>
      </c>
    </row>
    <row r="4" spans="1:23" ht="12" customHeight="1" x14ac:dyDescent="0.4">
      <c r="A4" t="s">
        <v>17</v>
      </c>
      <c r="B4" s="3"/>
      <c r="C4" s="3">
        <v>35</v>
      </c>
      <c r="D4" s="3">
        <v>35</v>
      </c>
      <c r="E4" s="3">
        <v>20</v>
      </c>
      <c r="F4" s="3">
        <v>30</v>
      </c>
      <c r="G4" s="3">
        <v>30</v>
      </c>
      <c r="H4" s="3">
        <v>50</v>
      </c>
      <c r="I4" s="3">
        <v>66</v>
      </c>
      <c r="J4" s="3">
        <v>20.7</v>
      </c>
      <c r="K4" s="3">
        <v>35</v>
      </c>
      <c r="L4" s="3">
        <v>35</v>
      </c>
      <c r="M4" s="3">
        <v>35</v>
      </c>
      <c r="N4" s="3">
        <v>75</v>
      </c>
      <c r="O4" s="3">
        <v>75</v>
      </c>
      <c r="P4" s="3">
        <v>0</v>
      </c>
      <c r="Q4" s="14">
        <v>50</v>
      </c>
      <c r="R4" s="3">
        <v>50</v>
      </c>
      <c r="S4" s="3">
        <v>38.979999999999997</v>
      </c>
      <c r="T4" s="3">
        <v>50</v>
      </c>
      <c r="U4" s="3" t="s">
        <v>68</v>
      </c>
      <c r="V4" s="3">
        <v>35</v>
      </c>
    </row>
    <row r="5" spans="1:23" ht="0.75" hidden="1" customHeight="1" x14ac:dyDescent="0.4">
      <c r="A5" t="s">
        <v>18</v>
      </c>
      <c r="B5" s="3" t="s">
        <v>38</v>
      </c>
      <c r="C5" s="3">
        <v>100</v>
      </c>
      <c r="D5" s="3">
        <v>100</v>
      </c>
      <c r="E5" s="3">
        <f>450</f>
        <v>450</v>
      </c>
      <c r="F5" s="3">
        <v>700</v>
      </c>
      <c r="G5" s="3">
        <v>800</v>
      </c>
      <c r="H5" s="3">
        <v>2679.37</v>
      </c>
      <c r="I5" s="3">
        <v>27.06</v>
      </c>
      <c r="J5" s="3">
        <v>0</v>
      </c>
      <c r="Q5" s="30"/>
    </row>
    <row r="6" spans="1:23" ht="14.25" customHeight="1" x14ac:dyDescent="0.4">
      <c r="A6" t="s">
        <v>18</v>
      </c>
      <c r="B6" s="3"/>
      <c r="C6" s="3"/>
      <c r="D6" s="3"/>
      <c r="E6" s="3"/>
      <c r="F6" s="3"/>
      <c r="G6" s="3"/>
      <c r="H6" s="3"/>
      <c r="I6" s="3"/>
      <c r="J6" s="3"/>
      <c r="N6" s="3">
        <v>45</v>
      </c>
      <c r="O6" s="3">
        <v>45</v>
      </c>
      <c r="P6" s="3">
        <v>300</v>
      </c>
      <c r="Q6" s="30">
        <v>300</v>
      </c>
      <c r="R6" s="13">
        <v>300.02999999999997</v>
      </c>
      <c r="S6" s="13">
        <v>305</v>
      </c>
      <c r="T6" s="13">
        <v>800</v>
      </c>
      <c r="U6" s="3" t="s">
        <v>68</v>
      </c>
    </row>
    <row r="7" spans="1:23" x14ac:dyDescent="0.4">
      <c r="A7" t="s">
        <v>37</v>
      </c>
      <c r="B7" s="3"/>
      <c r="C7" s="3"/>
      <c r="D7" s="3"/>
      <c r="E7" s="3"/>
      <c r="F7" s="3"/>
      <c r="G7" s="3"/>
      <c r="H7" s="3">
        <v>10.48</v>
      </c>
      <c r="I7" s="3">
        <v>36.369999999999997</v>
      </c>
      <c r="J7" s="3">
        <v>36.369999999999997</v>
      </c>
      <c r="K7" s="3">
        <v>36.369999999999997</v>
      </c>
      <c r="L7" s="3">
        <v>36.369999999999997</v>
      </c>
      <c r="M7" s="3">
        <v>17.37</v>
      </c>
      <c r="N7" s="3">
        <v>0</v>
      </c>
      <c r="O7" s="3">
        <v>0</v>
      </c>
      <c r="P7" s="3"/>
      <c r="Q7" s="3" t="s">
        <v>58</v>
      </c>
      <c r="R7" s="3">
        <v>6.4</v>
      </c>
      <c r="S7" s="3">
        <v>7.28</v>
      </c>
      <c r="T7" s="14">
        <v>56.13</v>
      </c>
      <c r="U7" s="3" t="s">
        <v>68</v>
      </c>
      <c r="V7" s="3">
        <v>17.37</v>
      </c>
    </row>
    <row r="8" spans="1:23" x14ac:dyDescent="0.4">
      <c r="A8" t="s">
        <v>19</v>
      </c>
      <c r="B8" s="3"/>
      <c r="C8" s="3">
        <v>13.69</v>
      </c>
      <c r="D8" s="3">
        <v>14.84</v>
      </c>
      <c r="E8" s="3">
        <v>12.93</v>
      </c>
      <c r="F8" s="3">
        <v>42.76</v>
      </c>
      <c r="G8" s="3">
        <v>12.6</v>
      </c>
      <c r="H8" s="3">
        <v>22.46</v>
      </c>
      <c r="I8" s="3">
        <v>36.409999999999997</v>
      </c>
      <c r="J8" s="3">
        <v>73.12</v>
      </c>
      <c r="K8" s="3">
        <v>85</v>
      </c>
      <c r="L8" s="3">
        <v>81.900000000000006</v>
      </c>
      <c r="M8" s="3">
        <v>17.13</v>
      </c>
      <c r="N8" s="3">
        <v>16.420000000000002</v>
      </c>
      <c r="O8" s="3">
        <v>31.13</v>
      </c>
      <c r="P8" s="3">
        <v>17.43</v>
      </c>
      <c r="Q8" s="14">
        <v>24.79</v>
      </c>
      <c r="R8" s="3">
        <v>42.72</v>
      </c>
      <c r="S8" s="3">
        <v>19.68</v>
      </c>
      <c r="T8" s="14">
        <v>58.06</v>
      </c>
      <c r="U8" s="3" t="s">
        <v>68</v>
      </c>
      <c r="V8" s="3">
        <v>17.13</v>
      </c>
      <c r="W8" s="2"/>
    </row>
    <row r="9" spans="1:23" x14ac:dyDescent="0.4">
      <c r="A9" t="s">
        <v>20</v>
      </c>
      <c r="B9" s="3"/>
      <c r="C9" s="3">
        <v>253</v>
      </c>
      <c r="D9" s="3">
        <v>261</v>
      </c>
      <c r="E9" s="3">
        <v>261</v>
      </c>
      <c r="F9" s="3">
        <v>261</v>
      </c>
      <c r="G9" s="3">
        <v>261</v>
      </c>
      <c r="H9" s="3">
        <v>261</v>
      </c>
      <c r="I9" s="3">
        <v>261</v>
      </c>
      <c r="J9" s="3">
        <v>261</v>
      </c>
      <c r="K9" s="3">
        <v>261</v>
      </c>
      <c r="L9" s="3">
        <v>261</v>
      </c>
      <c r="M9" s="3">
        <v>261</v>
      </c>
      <c r="N9" s="3">
        <v>261</v>
      </c>
      <c r="O9" s="3">
        <v>261</v>
      </c>
      <c r="P9" s="3">
        <v>270</v>
      </c>
      <c r="Q9" s="14">
        <v>270</v>
      </c>
      <c r="R9" s="3">
        <v>270</v>
      </c>
      <c r="S9" s="3">
        <v>270</v>
      </c>
      <c r="T9" s="3">
        <v>270</v>
      </c>
      <c r="U9" s="3" t="s">
        <v>68</v>
      </c>
      <c r="V9" s="3">
        <v>261</v>
      </c>
    </row>
    <row r="10" spans="1:23" ht="12" customHeight="1" x14ac:dyDescent="0.4">
      <c r="A10" t="s">
        <v>21</v>
      </c>
      <c r="B10" s="3"/>
      <c r="C10" s="3">
        <v>25</v>
      </c>
      <c r="D10" s="3">
        <v>25</v>
      </c>
      <c r="E10" s="3">
        <v>25</v>
      </c>
      <c r="F10" s="3">
        <v>25</v>
      </c>
      <c r="G10" s="3">
        <v>25</v>
      </c>
      <c r="H10" s="3">
        <v>25</v>
      </c>
      <c r="I10" s="3">
        <v>649.48</v>
      </c>
      <c r="J10" s="3">
        <v>50</v>
      </c>
      <c r="K10" s="3">
        <v>400</v>
      </c>
      <c r="L10" s="3">
        <v>400</v>
      </c>
      <c r="M10" s="3">
        <v>400</v>
      </c>
      <c r="N10" s="3">
        <v>400</v>
      </c>
      <c r="O10" s="3">
        <v>408.88</v>
      </c>
      <c r="P10" s="3">
        <v>400</v>
      </c>
      <c r="Q10" s="14">
        <v>400</v>
      </c>
      <c r="R10" s="3">
        <v>400</v>
      </c>
      <c r="S10" s="3">
        <v>400</v>
      </c>
      <c r="T10" s="3">
        <v>400</v>
      </c>
      <c r="U10" s="3" t="s">
        <v>68</v>
      </c>
      <c r="V10" s="3">
        <v>500</v>
      </c>
      <c r="W10" t="s">
        <v>53</v>
      </c>
    </row>
    <row r="11" spans="1:23" ht="0.75" hidden="1" customHeight="1" x14ac:dyDescent="0.4">
      <c r="A11" t="s">
        <v>22</v>
      </c>
      <c r="B11" s="3" t="s">
        <v>38</v>
      </c>
      <c r="C11" s="3">
        <v>650</v>
      </c>
      <c r="D11" s="3">
        <v>650</v>
      </c>
      <c r="E11" s="3">
        <v>50</v>
      </c>
      <c r="F11" s="3">
        <v>50</v>
      </c>
      <c r="G11" s="3">
        <v>50</v>
      </c>
      <c r="H11" s="3">
        <v>50</v>
      </c>
      <c r="I11" s="3">
        <v>245.08</v>
      </c>
      <c r="J11" s="3">
        <v>0</v>
      </c>
      <c r="Q11" s="30"/>
    </row>
    <row r="12" spans="1:23" hidden="1" x14ac:dyDescent="0.4">
      <c r="A12" t="s">
        <v>23</v>
      </c>
      <c r="B12" s="3" t="s">
        <v>39</v>
      </c>
      <c r="C12" s="3">
        <v>50</v>
      </c>
      <c r="D12" s="3">
        <v>50</v>
      </c>
      <c r="E12" s="3">
        <v>50</v>
      </c>
      <c r="F12" s="3">
        <v>50</v>
      </c>
      <c r="G12" s="3">
        <v>50</v>
      </c>
      <c r="H12" s="3">
        <v>50</v>
      </c>
      <c r="I12" s="3">
        <v>328.25</v>
      </c>
      <c r="J12" s="3">
        <v>338</v>
      </c>
      <c r="Q12" s="30"/>
    </row>
    <row r="13" spans="1:23" x14ac:dyDescent="0.4">
      <c r="A13" t="s">
        <v>24</v>
      </c>
      <c r="B13" s="3"/>
      <c r="C13" s="3">
        <v>25</v>
      </c>
      <c r="D13" s="3">
        <v>25</v>
      </c>
      <c r="E13" s="3">
        <v>25</v>
      </c>
      <c r="F13" s="3">
        <v>25</v>
      </c>
      <c r="G13" s="3">
        <v>25</v>
      </c>
      <c r="H13" s="3">
        <v>50</v>
      </c>
      <c r="I13" s="3">
        <v>50</v>
      </c>
      <c r="J13" s="3">
        <v>50</v>
      </c>
      <c r="K13" s="3">
        <v>50</v>
      </c>
      <c r="L13" s="3">
        <v>50</v>
      </c>
      <c r="M13" s="3">
        <v>50</v>
      </c>
      <c r="N13" s="3">
        <v>50</v>
      </c>
      <c r="O13" s="3">
        <v>50</v>
      </c>
      <c r="P13" s="3">
        <v>50</v>
      </c>
      <c r="Q13" s="14">
        <v>50</v>
      </c>
      <c r="R13" s="3">
        <v>50</v>
      </c>
      <c r="S13" s="3">
        <v>55.06</v>
      </c>
      <c r="T13" s="3">
        <v>60</v>
      </c>
      <c r="U13" s="3" t="s">
        <v>68</v>
      </c>
      <c r="V13" s="3">
        <v>50</v>
      </c>
    </row>
    <row r="14" spans="1:23" x14ac:dyDescent="0.4">
      <c r="A14" t="s">
        <v>25</v>
      </c>
      <c r="B14" s="3"/>
      <c r="C14" s="3">
        <v>114.27</v>
      </c>
      <c r="D14" s="3">
        <v>117</v>
      </c>
      <c r="E14" s="3">
        <v>166.73</v>
      </c>
      <c r="F14" s="3">
        <v>94.16</v>
      </c>
      <c r="G14" s="3">
        <v>101.88</v>
      </c>
      <c r="H14" s="3">
        <v>133</v>
      </c>
      <c r="I14" s="3">
        <v>119.84</v>
      </c>
      <c r="J14" s="3">
        <v>90.99</v>
      </c>
      <c r="K14" s="3">
        <v>43.54</v>
      </c>
      <c r="L14" s="3">
        <v>53.74</v>
      </c>
      <c r="M14" s="3">
        <v>102.58</v>
      </c>
      <c r="N14" s="3">
        <v>120.41</v>
      </c>
      <c r="O14" s="3">
        <v>109.43</v>
      </c>
      <c r="P14" s="3">
        <v>162.59</v>
      </c>
      <c r="Q14" s="14">
        <v>128.97999999999999</v>
      </c>
      <c r="R14" s="3">
        <v>107.79</v>
      </c>
      <c r="S14" s="3">
        <v>119.51</v>
      </c>
      <c r="T14" s="14">
        <v>80.680000000000007</v>
      </c>
      <c r="U14" s="3" t="s">
        <v>68</v>
      </c>
      <c r="V14" s="3">
        <v>102.58</v>
      </c>
    </row>
    <row r="15" spans="1:23" x14ac:dyDescent="0.4">
      <c r="A15" t="s">
        <v>36</v>
      </c>
      <c r="B15" s="3"/>
      <c r="C15" s="3">
        <v>130</v>
      </c>
      <c r="D15" s="3">
        <v>125</v>
      </c>
      <c r="E15" s="3">
        <v>125</v>
      </c>
      <c r="F15" s="3">
        <v>125</v>
      </c>
      <c r="G15" s="3">
        <v>125</v>
      </c>
      <c r="H15" s="3">
        <v>125</v>
      </c>
      <c r="I15" s="3">
        <v>125</v>
      </c>
      <c r="J15" s="3">
        <v>125</v>
      </c>
      <c r="K15" s="3">
        <v>141</v>
      </c>
      <c r="L15" s="3">
        <v>6</v>
      </c>
      <c r="M15" s="3">
        <v>0</v>
      </c>
      <c r="N15" s="3"/>
      <c r="O15" s="3">
        <v>125</v>
      </c>
      <c r="P15" s="3">
        <v>125</v>
      </c>
      <c r="Q15" s="14">
        <v>125</v>
      </c>
      <c r="R15" s="3">
        <v>125</v>
      </c>
      <c r="S15" s="3">
        <v>125</v>
      </c>
      <c r="T15" s="3">
        <v>125</v>
      </c>
      <c r="U15" s="3" t="s">
        <v>68</v>
      </c>
      <c r="V15" s="3">
        <v>125</v>
      </c>
    </row>
    <row r="16" spans="1:23" x14ac:dyDescent="0.4">
      <c r="A16" t="s">
        <v>35</v>
      </c>
      <c r="B16" s="3"/>
      <c r="C16" s="3"/>
      <c r="D16" s="3"/>
      <c r="E16" s="3"/>
      <c r="F16" s="3">
        <v>50</v>
      </c>
      <c r="G16" s="3">
        <v>50</v>
      </c>
      <c r="H16" s="3">
        <v>50</v>
      </c>
      <c r="I16" s="3">
        <v>66</v>
      </c>
      <c r="J16" s="3"/>
      <c r="L16" s="3"/>
      <c r="M16" s="3">
        <v>0</v>
      </c>
      <c r="N16" s="3"/>
      <c r="O16" s="3">
        <v>0</v>
      </c>
      <c r="P16" s="3"/>
      <c r="Q16" s="14">
        <v>25</v>
      </c>
      <c r="R16" s="3">
        <v>36</v>
      </c>
      <c r="S16" s="3">
        <v>50</v>
      </c>
      <c r="T16" s="3">
        <v>52</v>
      </c>
      <c r="U16" s="3" t="s">
        <v>68</v>
      </c>
      <c r="V16" s="3">
        <v>0</v>
      </c>
    </row>
    <row r="17" spans="1:27" x14ac:dyDescent="0.4">
      <c r="A17" t="s">
        <v>26</v>
      </c>
      <c r="B17" s="3"/>
      <c r="C17" s="3">
        <v>141.44</v>
      </c>
      <c r="D17" s="3">
        <v>164.3</v>
      </c>
      <c r="E17" s="3">
        <v>164.36</v>
      </c>
      <c r="F17" s="3">
        <v>164.36</v>
      </c>
      <c r="G17" s="3">
        <v>164.72</v>
      </c>
      <c r="H17" s="3">
        <v>164.73</v>
      </c>
      <c r="I17" s="3">
        <v>164.71</v>
      </c>
      <c r="J17" s="3">
        <v>164.44</v>
      </c>
      <c r="K17" s="3">
        <v>164</v>
      </c>
      <c r="L17" s="3">
        <v>185.5</v>
      </c>
      <c r="M17" s="3">
        <v>144.03</v>
      </c>
      <c r="N17" s="3">
        <v>163.58000000000001</v>
      </c>
      <c r="O17" s="3">
        <v>163.58000000000001</v>
      </c>
      <c r="P17" s="3">
        <v>163.58000000000001</v>
      </c>
      <c r="Q17" s="14">
        <v>163.47999999999999</v>
      </c>
      <c r="R17" s="3">
        <v>163.47999999999999</v>
      </c>
      <c r="S17" s="3">
        <v>163.65</v>
      </c>
      <c r="T17" s="14">
        <v>163.58000000000001</v>
      </c>
      <c r="U17" s="3" t="s">
        <v>68</v>
      </c>
      <c r="V17" s="3">
        <v>144.03</v>
      </c>
      <c r="X17" s="2"/>
      <c r="AA17" s="2"/>
    </row>
    <row r="18" spans="1:27" ht="13" thickBot="1" x14ac:dyDescent="0.45">
      <c r="A18" t="s">
        <v>27</v>
      </c>
      <c r="B18" s="3"/>
      <c r="C18" s="3">
        <v>132.56</v>
      </c>
      <c r="D18" s="3">
        <v>132.31</v>
      </c>
      <c r="E18" s="3">
        <v>139.11000000000001</v>
      </c>
      <c r="F18" s="3">
        <v>138.05000000000001</v>
      </c>
      <c r="G18" s="3">
        <v>142.30000000000001</v>
      </c>
      <c r="H18" s="3">
        <v>132.63</v>
      </c>
      <c r="I18" s="3">
        <v>136.56</v>
      </c>
      <c r="J18" s="3">
        <v>145.33000000000001</v>
      </c>
      <c r="K18" s="3">
        <v>136.44999999999999</v>
      </c>
      <c r="L18" s="3">
        <v>132.31</v>
      </c>
      <c r="M18" s="3">
        <v>142.16</v>
      </c>
      <c r="N18" s="3">
        <v>132.19</v>
      </c>
      <c r="O18" s="3">
        <v>134.72999999999999</v>
      </c>
      <c r="P18" s="3">
        <v>134.72999999999999</v>
      </c>
      <c r="Q18" s="14">
        <v>133.35</v>
      </c>
      <c r="R18" s="3">
        <v>77.290000000000006</v>
      </c>
      <c r="S18" s="3">
        <v>99.97</v>
      </c>
      <c r="T18" s="14">
        <v>99.88</v>
      </c>
      <c r="U18" s="3" t="s">
        <v>68</v>
      </c>
      <c r="V18" s="3">
        <v>142.16</v>
      </c>
      <c r="X18" s="2"/>
    </row>
    <row r="19" spans="1:27" ht="13" thickBot="1" x14ac:dyDescent="0.45">
      <c r="A19" t="s">
        <v>28</v>
      </c>
      <c r="B19" s="3"/>
      <c r="C19" s="3"/>
      <c r="D19" s="3"/>
      <c r="E19" s="3">
        <v>257.76</v>
      </c>
      <c r="F19" s="3"/>
      <c r="G19" s="3"/>
      <c r="H19" s="3">
        <v>240</v>
      </c>
      <c r="I19" s="3"/>
      <c r="J19" s="3">
        <v>120</v>
      </c>
      <c r="L19" s="3"/>
      <c r="M19" s="3">
        <v>0</v>
      </c>
      <c r="N19" s="3">
        <v>110.75</v>
      </c>
      <c r="O19" s="3">
        <v>0</v>
      </c>
      <c r="P19" s="3"/>
      <c r="Q19" s="32"/>
      <c r="R19" s="3"/>
      <c r="S19" s="3"/>
      <c r="T19" s="3"/>
      <c r="U19" s="3"/>
      <c r="V19" s="3">
        <v>50</v>
      </c>
    </row>
    <row r="20" spans="1:27" x14ac:dyDescent="0.4">
      <c r="A20" t="s">
        <v>29</v>
      </c>
      <c r="B20" s="3"/>
      <c r="C20" s="4">
        <v>460</v>
      </c>
      <c r="D20" s="4">
        <v>460</v>
      </c>
      <c r="E20" s="4">
        <v>460</v>
      </c>
      <c r="F20" s="4">
        <v>460</v>
      </c>
      <c r="G20" s="4">
        <v>460</v>
      </c>
      <c r="H20" s="4">
        <v>460</v>
      </c>
      <c r="I20" s="4">
        <v>460</v>
      </c>
      <c r="J20" s="4">
        <v>460</v>
      </c>
      <c r="K20" s="19">
        <v>460</v>
      </c>
      <c r="L20" s="4">
        <v>460</v>
      </c>
      <c r="M20" s="4">
        <v>460</v>
      </c>
      <c r="N20" s="4">
        <v>460</v>
      </c>
      <c r="O20" s="4">
        <v>460</v>
      </c>
      <c r="P20" s="4">
        <v>470</v>
      </c>
      <c r="Q20" s="31">
        <v>470</v>
      </c>
      <c r="R20" s="4">
        <v>470</v>
      </c>
      <c r="S20" s="4">
        <v>470</v>
      </c>
      <c r="T20" s="4">
        <v>470</v>
      </c>
      <c r="U20" s="3" t="s">
        <v>68</v>
      </c>
      <c r="V20" s="4">
        <v>460</v>
      </c>
    </row>
    <row r="21" spans="1:27" x14ac:dyDescent="0.4">
      <c r="B21" s="3"/>
      <c r="C21" s="3"/>
      <c r="D21" s="3"/>
      <c r="E21" s="3"/>
      <c r="F21" s="3"/>
      <c r="G21" s="3"/>
      <c r="H21" s="3"/>
      <c r="I21" s="3"/>
      <c r="J21" s="3"/>
    </row>
    <row r="22" spans="1:27" x14ac:dyDescent="0.4">
      <c r="B22" s="3"/>
      <c r="C22" s="3">
        <f t="shared" ref="C22:V22" si="0">SUM(C3:C21)</f>
        <v>2179.96</v>
      </c>
      <c r="D22" s="3">
        <f t="shared" si="0"/>
        <v>2209.4499999999998</v>
      </c>
      <c r="E22" s="3">
        <f t="shared" si="0"/>
        <v>2256.8900000000003</v>
      </c>
      <c r="F22" s="3">
        <f t="shared" si="0"/>
        <v>2265.33</v>
      </c>
      <c r="G22" s="3">
        <f t="shared" si="0"/>
        <v>2347.5</v>
      </c>
      <c r="H22" s="3">
        <f t="shared" si="0"/>
        <v>4553.67</v>
      </c>
      <c r="I22" s="25">
        <f t="shared" si="0"/>
        <v>3431.7599999999998</v>
      </c>
      <c r="J22" s="25">
        <f t="shared" si="0"/>
        <v>2299.9499999999998</v>
      </c>
      <c r="K22" s="25">
        <f t="shared" si="0"/>
        <v>2112.3599999999997</v>
      </c>
      <c r="L22" s="25">
        <f t="shared" si="0"/>
        <v>2001.82</v>
      </c>
      <c r="M22" s="25">
        <f t="shared" si="0"/>
        <v>1829.27</v>
      </c>
      <c r="N22" s="25">
        <f t="shared" si="0"/>
        <v>2034.3500000000001</v>
      </c>
      <c r="O22" s="25">
        <f t="shared" si="0"/>
        <v>2063.75</v>
      </c>
      <c r="P22" s="25">
        <f t="shared" si="0"/>
        <v>2093.33</v>
      </c>
      <c r="Q22" s="25">
        <f t="shared" si="0"/>
        <v>2175.6</v>
      </c>
      <c r="R22" s="25">
        <f t="shared" si="0"/>
        <v>2133.71</v>
      </c>
      <c r="S22" s="25">
        <f t="shared" si="0"/>
        <v>2174.13</v>
      </c>
      <c r="T22" s="25">
        <f t="shared" si="0"/>
        <v>3135.33</v>
      </c>
      <c r="U22" s="25"/>
      <c r="V22" s="25">
        <f t="shared" si="0"/>
        <v>1904.27</v>
      </c>
    </row>
    <row r="23" spans="1:27" x14ac:dyDescent="0.4">
      <c r="A23" t="s">
        <v>31</v>
      </c>
      <c r="B23" s="3"/>
      <c r="C23" s="3"/>
      <c r="D23" s="3"/>
      <c r="E23" s="3"/>
      <c r="F23" s="3"/>
      <c r="G23" s="3"/>
      <c r="H23" s="3"/>
      <c r="I23" s="3"/>
      <c r="J23" s="3"/>
      <c r="N23" s="2"/>
      <c r="O23" s="2"/>
      <c r="P23" s="2"/>
      <c r="Q23" s="2"/>
      <c r="R23" s="2"/>
      <c r="S23" s="2"/>
      <c r="T23" s="2"/>
      <c r="U23" s="2"/>
    </row>
    <row r="24" spans="1:27" x14ac:dyDescent="0.4">
      <c r="A24" t="s">
        <v>32</v>
      </c>
      <c r="B24" s="3"/>
      <c r="C24" s="3">
        <v>189</v>
      </c>
      <c r="D24" s="3">
        <v>189</v>
      </c>
      <c r="E24" s="3">
        <v>189</v>
      </c>
      <c r="F24" s="3">
        <v>120</v>
      </c>
      <c r="G24" s="3">
        <v>120</v>
      </c>
      <c r="H24" s="3">
        <v>120</v>
      </c>
      <c r="I24" s="20"/>
      <c r="J24" s="20"/>
      <c r="K24" s="21"/>
      <c r="L24" s="20">
        <v>120</v>
      </c>
      <c r="M24" s="1">
        <v>120</v>
      </c>
      <c r="N24" s="1">
        <v>120</v>
      </c>
      <c r="O24" s="1">
        <v>120</v>
      </c>
      <c r="P24" s="1">
        <v>120</v>
      </c>
      <c r="Q24" s="1">
        <v>120</v>
      </c>
      <c r="R24" s="1">
        <v>120</v>
      </c>
      <c r="S24" s="1">
        <v>120</v>
      </c>
      <c r="T24" s="1">
        <v>120</v>
      </c>
      <c r="U24" s="3" t="s">
        <v>68</v>
      </c>
    </row>
    <row r="25" spans="1:27" x14ac:dyDescent="0.4">
      <c r="A25" t="s">
        <v>33</v>
      </c>
      <c r="B25" s="3"/>
      <c r="C25" s="3">
        <v>300</v>
      </c>
      <c r="D25" s="3">
        <v>300</v>
      </c>
      <c r="E25" s="3">
        <v>300</v>
      </c>
      <c r="F25" s="3">
        <v>300</v>
      </c>
      <c r="G25" s="3">
        <v>300</v>
      </c>
      <c r="H25" s="3">
        <v>300</v>
      </c>
      <c r="I25" s="20">
        <v>300</v>
      </c>
      <c r="J25" s="20">
        <v>300</v>
      </c>
      <c r="K25" s="20">
        <v>300</v>
      </c>
      <c r="L25" s="20">
        <v>300</v>
      </c>
      <c r="M25" s="24">
        <v>300</v>
      </c>
      <c r="N25" s="24">
        <v>300</v>
      </c>
      <c r="O25" s="24">
        <v>300</v>
      </c>
      <c r="P25" s="24">
        <v>300</v>
      </c>
      <c r="Q25" s="24">
        <v>300</v>
      </c>
      <c r="R25" s="24">
        <v>300</v>
      </c>
      <c r="S25" s="24">
        <v>300</v>
      </c>
      <c r="T25" s="24">
        <v>300</v>
      </c>
      <c r="U25" s="3" t="s">
        <v>68</v>
      </c>
      <c r="V25" s="20">
        <v>350</v>
      </c>
      <c r="Y25" s="2"/>
    </row>
    <row r="26" spans="1:27" x14ac:dyDescent="0.4">
      <c r="A26" t="s">
        <v>34</v>
      </c>
      <c r="B26" s="3"/>
      <c r="C26" s="4">
        <v>120</v>
      </c>
      <c r="D26" s="4">
        <v>120</v>
      </c>
      <c r="E26" s="4">
        <v>120</v>
      </c>
      <c r="F26" s="4">
        <v>120</v>
      </c>
      <c r="G26" s="12">
        <v>120</v>
      </c>
      <c r="H26" s="12">
        <v>120</v>
      </c>
      <c r="I26" s="22">
        <v>120</v>
      </c>
      <c r="J26" s="22">
        <v>120</v>
      </c>
      <c r="K26" s="23">
        <v>120</v>
      </c>
      <c r="L26" s="23">
        <v>120</v>
      </c>
      <c r="M26" s="19">
        <v>120</v>
      </c>
      <c r="N26" s="19">
        <v>120</v>
      </c>
      <c r="O26" s="19">
        <v>120</v>
      </c>
      <c r="P26" s="19">
        <v>120</v>
      </c>
      <c r="Q26" s="19">
        <v>120</v>
      </c>
      <c r="R26" s="19">
        <v>120</v>
      </c>
      <c r="S26" s="19">
        <v>120</v>
      </c>
      <c r="T26" s="19">
        <v>120</v>
      </c>
      <c r="U26" s="3" t="s">
        <v>68</v>
      </c>
      <c r="V26" s="27">
        <v>100</v>
      </c>
      <c r="W26" t="s">
        <v>55</v>
      </c>
      <c r="X26" t="s">
        <v>56</v>
      </c>
    </row>
    <row r="27" spans="1:27" x14ac:dyDescent="0.4">
      <c r="B27" s="3"/>
      <c r="C27" s="3">
        <f t="shared" ref="C27:V27" si="1">C22+SUM(C24:C26)</f>
        <v>2788.96</v>
      </c>
      <c r="D27" s="3">
        <f t="shared" si="1"/>
        <v>2818.45</v>
      </c>
      <c r="E27" s="3">
        <f t="shared" si="1"/>
        <v>2865.8900000000003</v>
      </c>
      <c r="F27" s="3">
        <f t="shared" si="1"/>
        <v>2805.33</v>
      </c>
      <c r="G27" s="3">
        <f t="shared" si="1"/>
        <v>2887.5</v>
      </c>
      <c r="H27" s="3">
        <f t="shared" si="1"/>
        <v>5093.67</v>
      </c>
      <c r="I27" s="25">
        <f t="shared" si="1"/>
        <v>3851.7599999999998</v>
      </c>
      <c r="J27" s="25">
        <f t="shared" si="1"/>
        <v>2719.95</v>
      </c>
      <c r="K27" s="25">
        <f t="shared" si="1"/>
        <v>2532.3599999999997</v>
      </c>
      <c r="L27" s="25">
        <f t="shared" si="1"/>
        <v>2541.8199999999997</v>
      </c>
      <c r="M27" s="25">
        <f t="shared" si="1"/>
        <v>2369.27</v>
      </c>
      <c r="N27" s="25">
        <f t="shared" si="1"/>
        <v>2574.3500000000004</v>
      </c>
      <c r="O27" s="25">
        <f t="shared" si="1"/>
        <v>2603.75</v>
      </c>
      <c r="P27" s="25">
        <f t="shared" si="1"/>
        <v>2633.33</v>
      </c>
      <c r="Q27" s="25">
        <f t="shared" si="1"/>
        <v>2715.6</v>
      </c>
      <c r="R27" s="25">
        <f t="shared" si="1"/>
        <v>2673.71</v>
      </c>
      <c r="S27" s="25">
        <f t="shared" si="1"/>
        <v>2714.13</v>
      </c>
      <c r="T27" s="25">
        <f t="shared" si="1"/>
        <v>3675.33</v>
      </c>
      <c r="U27" s="25"/>
      <c r="V27" s="25">
        <f t="shared" si="1"/>
        <v>2354.27</v>
      </c>
      <c r="W27" s="29"/>
    </row>
    <row r="28" spans="1:27" x14ac:dyDescent="0.4">
      <c r="B28" s="3"/>
      <c r="C28" s="3"/>
      <c r="D28" s="3"/>
      <c r="E28" s="3"/>
      <c r="F28" s="3"/>
      <c r="G28" s="3"/>
      <c r="H28" s="3"/>
      <c r="I28" s="3"/>
      <c r="J28" s="3"/>
      <c r="K28" s="5"/>
      <c r="O28" s="26"/>
      <c r="P28" s="26"/>
      <c r="Q28" s="2"/>
      <c r="R28" s="2"/>
      <c r="S28" s="2"/>
      <c r="T28" s="2"/>
    </row>
    <row r="29" spans="1:27" x14ac:dyDescent="0.4">
      <c r="B29" s="3"/>
      <c r="C29" s="3"/>
      <c r="D29" s="3"/>
      <c r="E29" s="3"/>
      <c r="F29" s="3"/>
      <c r="G29" s="3"/>
      <c r="H29" s="3"/>
      <c r="I29" s="3"/>
      <c r="J29" s="3"/>
      <c r="K29" s="5"/>
      <c r="U29" s="2"/>
      <c r="Y29" s="2"/>
    </row>
    <row r="30" spans="1:27" x14ac:dyDescent="0.4">
      <c r="T30" s="2"/>
      <c r="U30" s="2"/>
      <c r="W30" s="1"/>
    </row>
    <row r="31" spans="1:27" x14ac:dyDescent="0.4">
      <c r="A31" t="s">
        <v>41</v>
      </c>
    </row>
    <row r="32" spans="1:27" x14ac:dyDescent="0.4">
      <c r="A32" s="26" t="s">
        <v>42</v>
      </c>
      <c r="F32" s="5"/>
      <c r="X32" s="28">
        <f>3026.83+2494</f>
        <v>5520.83</v>
      </c>
    </row>
    <row r="33" spans="1:24" x14ac:dyDescent="0.4">
      <c r="A33" s="26" t="s">
        <v>52</v>
      </c>
      <c r="C33" s="1"/>
      <c r="N33" s="28"/>
      <c r="O33" s="28"/>
      <c r="P33" s="28"/>
      <c r="W33" s="2"/>
      <c r="X33" s="28">
        <f>-T27</f>
        <v>-3675.33</v>
      </c>
    </row>
    <row r="34" spans="1:24" x14ac:dyDescent="0.4">
      <c r="A34" s="26" t="s">
        <v>73</v>
      </c>
      <c r="C34" s="1"/>
      <c r="P34" s="2"/>
      <c r="X34" s="28">
        <f>SUM(X32:X33)</f>
        <v>1845.5</v>
      </c>
    </row>
    <row r="35" spans="1:24" x14ac:dyDescent="0.4">
      <c r="C35" s="1"/>
      <c r="D35" s="5"/>
    </row>
    <row r="36" spans="1:24" x14ac:dyDescent="0.4">
      <c r="A36" s="2"/>
      <c r="C36" s="1"/>
    </row>
    <row r="37" spans="1:24" x14ac:dyDescent="0.4">
      <c r="C37" s="1"/>
    </row>
    <row r="38" spans="1:24" x14ac:dyDescent="0.4">
      <c r="C38" s="1"/>
    </row>
    <row r="39" spans="1:24" x14ac:dyDescent="0.4">
      <c r="C39" s="1"/>
    </row>
    <row r="40" spans="1:24" x14ac:dyDescent="0.4">
      <c r="C40" s="1"/>
    </row>
    <row r="41" spans="1:24" x14ac:dyDescent="0.4">
      <c r="C41" s="1"/>
    </row>
    <row r="42" spans="1:24" x14ac:dyDescent="0.4">
      <c r="C42" s="1"/>
    </row>
    <row r="43" spans="1:24" x14ac:dyDescent="0.4">
      <c r="C43" s="1"/>
    </row>
    <row r="44" spans="1:24" x14ac:dyDescent="0.4">
      <c r="C44" s="1"/>
    </row>
    <row r="45" spans="1:24" x14ac:dyDescent="0.4">
      <c r="C45" s="1"/>
    </row>
    <row r="46" spans="1:24" x14ac:dyDescent="0.4">
      <c r="C46" s="1"/>
    </row>
    <row r="47" spans="1:24" x14ac:dyDescent="0.4">
      <c r="C47" s="1"/>
    </row>
    <row r="48" spans="1:24" x14ac:dyDescent="0.4">
      <c r="C48" s="1"/>
    </row>
    <row r="49" spans="3:3" x14ac:dyDescent="0.4">
      <c r="C49" s="1"/>
    </row>
    <row r="50" spans="3:3" x14ac:dyDescent="0.4">
      <c r="C50" s="1"/>
    </row>
    <row r="51" spans="3:3" x14ac:dyDescent="0.4">
      <c r="C51" s="1"/>
    </row>
    <row r="52" spans="3:3" x14ac:dyDescent="0.4">
      <c r="C52" s="1"/>
    </row>
  </sheetData>
  <phoneticPr fontId="3" type="noConversion"/>
  <pageMargins left="0.75" right="0.75" top="1" bottom="1" header="0.5" footer="0.5"/>
  <pageSetup scale="75" orientation="landscape" horizontalDpi="200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1DD405-CEF8-4CCF-B6C8-D8C8A5BBA5C0}">
  <dimension ref="A1:U94"/>
  <sheetViews>
    <sheetView zoomScaleNormal="70" workbookViewId="0">
      <pane xSplit="1" topLeftCell="J1" activePane="topRight" state="frozen"/>
      <selection pane="topRight" activeCell="N6" sqref="N6"/>
    </sheetView>
  </sheetViews>
  <sheetFormatPr defaultColWidth="9.05859375" defaultRowHeight="15" x14ac:dyDescent="0.45"/>
  <cols>
    <col min="1" max="1" width="31.8203125" style="75" customWidth="1"/>
    <col min="2" max="2" width="15.41015625" style="75" customWidth="1"/>
    <col min="3" max="3" width="13.87890625" style="75" customWidth="1"/>
    <col min="4" max="4" width="13.29296875" style="75" customWidth="1"/>
    <col min="5" max="5" width="13.1171875" style="75" customWidth="1"/>
    <col min="6" max="6" width="13.3515625" style="75" customWidth="1"/>
    <col min="7" max="7" width="12.9375" style="75" customWidth="1"/>
    <col min="8" max="8" width="12.703125" style="75" customWidth="1"/>
    <col min="9" max="9" width="12.52734375" style="75" customWidth="1"/>
    <col min="10" max="10" width="12.64453125" style="75" customWidth="1"/>
    <col min="11" max="11" width="13.17578125" style="75" customWidth="1"/>
    <col min="12" max="12" width="12.64453125" style="75" customWidth="1"/>
    <col min="13" max="13" width="13.8203125" style="75" customWidth="1"/>
    <col min="14" max="14" width="2.9375" style="75" customWidth="1"/>
    <col min="15" max="15" width="14.87890625" style="75" customWidth="1"/>
    <col min="16" max="16" width="12.1171875" style="75" customWidth="1"/>
    <col min="17" max="17" width="14.1171875" style="75" customWidth="1"/>
    <col min="18" max="18" width="13.46875" style="75" customWidth="1"/>
    <col min="19" max="16384" width="9.05859375" style="75"/>
  </cols>
  <sheetData>
    <row r="1" spans="1:19" ht="17.7" x14ac:dyDescent="0.55000000000000004">
      <c r="A1" s="82" t="s">
        <v>321</v>
      </c>
      <c r="B1" s="84" t="s">
        <v>40</v>
      </c>
      <c r="C1" s="84" t="s">
        <v>43</v>
      </c>
      <c r="D1" s="84" t="s">
        <v>50</v>
      </c>
      <c r="E1" s="84" t="s">
        <v>51</v>
      </c>
      <c r="F1" s="84" t="s">
        <v>46</v>
      </c>
      <c r="G1" s="84" t="s">
        <v>47</v>
      </c>
      <c r="H1" s="84" t="s">
        <v>0</v>
      </c>
      <c r="I1" s="84" t="s">
        <v>3</v>
      </c>
      <c r="J1" s="84" t="s">
        <v>10</v>
      </c>
      <c r="K1" s="84" t="s">
        <v>11</v>
      </c>
      <c r="L1" s="84" t="s">
        <v>12</v>
      </c>
      <c r="M1" s="84" t="s">
        <v>13</v>
      </c>
      <c r="N1" s="84"/>
      <c r="O1" s="84" t="s">
        <v>44</v>
      </c>
      <c r="P1" s="86"/>
      <c r="Q1" s="83"/>
    </row>
    <row r="2" spans="1:19" ht="17.7" x14ac:dyDescent="0.55000000000000004">
      <c r="A2" s="82" t="s">
        <v>77</v>
      </c>
      <c r="B2" s="86"/>
      <c r="C2" s="83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3"/>
    </row>
    <row r="3" spans="1:19" ht="17.7" x14ac:dyDescent="0.55000000000000004">
      <c r="A3" s="83" t="s">
        <v>125</v>
      </c>
      <c r="B3" s="89">
        <v>3084.6</v>
      </c>
      <c r="C3" s="89">
        <v>3084.6</v>
      </c>
      <c r="D3" s="89">
        <v>3084.6</v>
      </c>
      <c r="E3" s="89">
        <v>3084.6</v>
      </c>
      <c r="F3" s="89">
        <v>3084.6</v>
      </c>
      <c r="G3" s="89">
        <v>3084.6</v>
      </c>
      <c r="H3" s="89">
        <v>3084.6</v>
      </c>
      <c r="I3" s="89">
        <v>3084.6</v>
      </c>
      <c r="J3" s="89">
        <v>3084.6</v>
      </c>
      <c r="K3" s="89">
        <v>3084.6</v>
      </c>
      <c r="L3" s="89">
        <v>3084.6</v>
      </c>
      <c r="M3" s="89">
        <v>3084.6</v>
      </c>
      <c r="N3" s="132" t="s">
        <v>285</v>
      </c>
      <c r="O3" s="89">
        <f>SUM(B3:M3)</f>
        <v>37015.19999999999</v>
      </c>
      <c r="P3" s="89"/>
      <c r="Q3" s="92"/>
    </row>
    <row r="4" spans="1:19" ht="17.7" x14ac:dyDescent="0.55000000000000004">
      <c r="A4" s="83" t="s">
        <v>126</v>
      </c>
      <c r="B4" s="89">
        <v>500</v>
      </c>
      <c r="C4" s="89">
        <v>500</v>
      </c>
      <c r="D4" s="89">
        <v>500</v>
      </c>
      <c r="E4" s="89">
        <v>500</v>
      </c>
      <c r="F4" s="89">
        <v>500</v>
      </c>
      <c r="G4" s="89">
        <v>500</v>
      </c>
      <c r="H4" s="89">
        <v>500</v>
      </c>
      <c r="I4" s="89">
        <v>500</v>
      </c>
      <c r="J4" s="89">
        <v>500</v>
      </c>
      <c r="K4" s="89">
        <v>500</v>
      </c>
      <c r="L4" s="89">
        <v>500</v>
      </c>
      <c r="M4" s="89">
        <v>500</v>
      </c>
      <c r="N4" s="132" t="s">
        <v>285</v>
      </c>
      <c r="O4" s="89">
        <f>SUM(B4:M4)</f>
        <v>6000</v>
      </c>
      <c r="P4" s="92"/>
      <c r="Q4" s="83"/>
    </row>
    <row r="5" spans="1:19" ht="17.350000000000001" x14ac:dyDescent="0.5">
      <c r="A5" s="83" t="s">
        <v>334</v>
      </c>
      <c r="B5" s="89"/>
      <c r="C5" s="89"/>
      <c r="D5" s="89"/>
      <c r="E5" s="89"/>
      <c r="F5" s="89"/>
      <c r="G5" s="89">
        <v>1400</v>
      </c>
      <c r="H5" s="89">
        <v>6000</v>
      </c>
      <c r="I5" s="89"/>
      <c r="J5" s="89">
        <v>400</v>
      </c>
      <c r="K5" s="89"/>
      <c r="L5" s="89"/>
      <c r="M5" s="89">
        <f>368+3300</f>
        <v>3668</v>
      </c>
      <c r="N5" s="132" t="s">
        <v>285</v>
      </c>
      <c r="O5" s="89">
        <f>SUM(B5:M5)</f>
        <v>11468</v>
      </c>
      <c r="P5" s="89"/>
      <c r="Q5" s="98"/>
    </row>
    <row r="6" spans="1:19" ht="17.7" x14ac:dyDescent="0.55000000000000004">
      <c r="A6" s="83" t="s">
        <v>250</v>
      </c>
      <c r="B6" s="91">
        <f>687.21+2718+863+75</f>
        <v>4343.21</v>
      </c>
      <c r="C6" s="91">
        <f>1100</f>
        <v>1100</v>
      </c>
      <c r="D6" s="91"/>
      <c r="E6" s="91"/>
      <c r="F6" s="91"/>
      <c r="G6" s="91"/>
      <c r="H6" s="91"/>
      <c r="I6" s="91">
        <f>453+500+450</f>
        <v>1403</v>
      </c>
      <c r="J6" s="91">
        <f>453+1500+678+163</f>
        <v>2794</v>
      </c>
      <c r="K6" s="91">
        <v>853</v>
      </c>
      <c r="L6" s="91">
        <v>853</v>
      </c>
      <c r="M6" s="91">
        <f>453+450</f>
        <v>903</v>
      </c>
      <c r="N6" s="132" t="s">
        <v>285</v>
      </c>
      <c r="O6" s="91">
        <f>SUM(B6:M6)</f>
        <v>12249.21</v>
      </c>
      <c r="P6" s="92"/>
      <c r="Q6" s="89"/>
    </row>
    <row r="7" spans="1:19" ht="17.350000000000001" x14ac:dyDescent="0.5">
      <c r="A7" s="83" t="s">
        <v>44</v>
      </c>
      <c r="B7" s="89">
        <f t="shared" ref="B7:K7" si="0">SUM(B3:B6)</f>
        <v>7927.8099999999995</v>
      </c>
      <c r="C7" s="89">
        <f t="shared" si="0"/>
        <v>4684.6000000000004</v>
      </c>
      <c r="D7" s="89">
        <f t="shared" si="0"/>
        <v>3584.6</v>
      </c>
      <c r="E7" s="89">
        <f t="shared" si="0"/>
        <v>3584.6</v>
      </c>
      <c r="F7" s="89">
        <f t="shared" si="0"/>
        <v>3584.6</v>
      </c>
      <c r="G7" s="89">
        <f t="shared" si="0"/>
        <v>4984.6000000000004</v>
      </c>
      <c r="H7" s="89">
        <f t="shared" si="0"/>
        <v>9584.6</v>
      </c>
      <c r="I7" s="89">
        <f t="shared" si="0"/>
        <v>4987.6000000000004</v>
      </c>
      <c r="J7" s="89">
        <f t="shared" si="0"/>
        <v>6778.6</v>
      </c>
      <c r="K7" s="89">
        <f t="shared" si="0"/>
        <v>4437.6000000000004</v>
      </c>
      <c r="L7" s="89">
        <f>SUM(L3:L6)</f>
        <v>4437.6000000000004</v>
      </c>
      <c r="M7" s="89">
        <f>SUM(M3:M6)</f>
        <v>8155.6</v>
      </c>
      <c r="N7" s="89"/>
      <c r="O7" s="89">
        <f>SUM(B7:M7)</f>
        <v>66732.409999999989</v>
      </c>
      <c r="P7" s="89">
        <f>SUM(P3:P6)</f>
        <v>0</v>
      </c>
      <c r="Q7" s="89">
        <f>SUM(Q4:Q6)</f>
        <v>0</v>
      </c>
    </row>
    <row r="8" spans="1:19" ht="17.7" x14ac:dyDescent="0.55000000000000004">
      <c r="A8" s="82"/>
      <c r="B8" s="116"/>
      <c r="C8" s="89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86"/>
      <c r="Q8" s="83"/>
    </row>
    <row r="9" spans="1:19" ht="17.7" x14ac:dyDescent="0.55000000000000004">
      <c r="A9" s="82" t="s">
        <v>128</v>
      </c>
      <c r="B9" s="116"/>
      <c r="C9" s="89"/>
      <c r="D9" s="116"/>
      <c r="E9" s="116"/>
      <c r="F9" s="116"/>
      <c r="G9" s="116"/>
      <c r="H9" s="116"/>
      <c r="I9" s="116"/>
      <c r="J9" s="116"/>
      <c r="K9" s="116"/>
      <c r="L9" s="116"/>
      <c r="M9" s="117"/>
      <c r="N9" s="117"/>
      <c r="O9" s="116"/>
      <c r="P9" s="86"/>
      <c r="Q9" s="83"/>
    </row>
    <row r="10" spans="1:19" ht="15.75" customHeight="1" x14ac:dyDescent="0.55000000000000004">
      <c r="A10" s="83" t="s">
        <v>335</v>
      </c>
      <c r="B10" s="89">
        <v>190</v>
      </c>
      <c r="C10" s="89">
        <v>300</v>
      </c>
      <c r="D10" s="89">
        <v>300</v>
      </c>
      <c r="E10" s="89">
        <v>300</v>
      </c>
      <c r="F10" s="89">
        <v>300</v>
      </c>
      <c r="G10" s="89">
        <v>285</v>
      </c>
      <c r="H10" s="89">
        <v>784</v>
      </c>
      <c r="I10" s="89">
        <v>450</v>
      </c>
      <c r="J10" s="89">
        <v>250</v>
      </c>
      <c r="K10" s="89">
        <v>350</v>
      </c>
      <c r="L10" s="89">
        <v>350</v>
      </c>
      <c r="M10" s="89">
        <v>350</v>
      </c>
      <c r="N10" s="132" t="s">
        <v>285</v>
      </c>
      <c r="O10" s="89">
        <f t="shared" ref="O10:O18" si="1">SUM(B10:M10)</f>
        <v>4209</v>
      </c>
      <c r="P10" s="89"/>
      <c r="Q10" s="92"/>
    </row>
    <row r="11" spans="1:19" ht="17.7" x14ac:dyDescent="0.55000000000000004">
      <c r="A11" s="83" t="s">
        <v>349</v>
      </c>
      <c r="B11" s="89">
        <v>687.21</v>
      </c>
      <c r="C11" s="89"/>
      <c r="D11" s="89"/>
      <c r="E11" s="89">
        <v>687.21</v>
      </c>
      <c r="F11" s="89"/>
      <c r="G11" s="89"/>
      <c r="H11" s="89">
        <v>687.21</v>
      </c>
      <c r="I11"/>
      <c r="J11" s="89"/>
      <c r="K11" s="89">
        <v>687.21</v>
      </c>
      <c r="L11" s="89"/>
      <c r="M11" s="89">
        <v>687</v>
      </c>
      <c r="N11" s="89"/>
      <c r="O11" s="89">
        <f t="shared" si="1"/>
        <v>3435.84</v>
      </c>
      <c r="P11" s="92"/>
      <c r="Q11" s="89"/>
    </row>
    <row r="12" spans="1:19" ht="17.350000000000001" x14ac:dyDescent="0.5">
      <c r="A12" s="83" t="s">
        <v>336</v>
      </c>
      <c r="B12" s="89">
        <v>300</v>
      </c>
      <c r="C12" s="89">
        <v>210</v>
      </c>
      <c r="D12" s="89">
        <v>210</v>
      </c>
      <c r="E12" s="89">
        <v>216</v>
      </c>
      <c r="F12" s="89">
        <v>208</v>
      </c>
      <c r="G12" s="89">
        <v>500</v>
      </c>
      <c r="H12" s="89">
        <v>450</v>
      </c>
      <c r="I12" s="89">
        <v>500</v>
      </c>
      <c r="J12" s="89">
        <v>75</v>
      </c>
      <c r="K12" s="89">
        <v>300</v>
      </c>
      <c r="L12" s="89">
        <v>300</v>
      </c>
      <c r="M12" s="89">
        <v>300</v>
      </c>
      <c r="N12" s="132" t="s">
        <v>285</v>
      </c>
      <c r="O12" s="89">
        <f t="shared" si="1"/>
        <v>3569</v>
      </c>
      <c r="P12" s="89"/>
      <c r="Q12" s="89"/>
    </row>
    <row r="13" spans="1:19" ht="17.7" x14ac:dyDescent="0.55000000000000004">
      <c r="A13" s="83" t="s">
        <v>325</v>
      </c>
      <c r="B13" s="89"/>
      <c r="C13" s="89">
        <v>53</v>
      </c>
      <c r="D13" s="89">
        <v>53</v>
      </c>
      <c r="E13" s="89">
        <v>53</v>
      </c>
      <c r="F13" s="89">
        <v>53</v>
      </c>
      <c r="G13" s="89">
        <v>53</v>
      </c>
      <c r="H13" s="89">
        <v>53</v>
      </c>
      <c r="I13" s="89">
        <v>53</v>
      </c>
      <c r="J13" s="89">
        <v>53</v>
      </c>
      <c r="K13" s="89">
        <v>53</v>
      </c>
      <c r="L13" s="89">
        <v>53</v>
      </c>
      <c r="M13" s="89">
        <v>53</v>
      </c>
      <c r="N13" s="132" t="s">
        <v>285</v>
      </c>
      <c r="O13" s="89">
        <f t="shared" si="1"/>
        <v>583</v>
      </c>
      <c r="P13" s="92"/>
      <c r="Q13" s="89"/>
    </row>
    <row r="14" spans="1:19" ht="20.350000000000001" customHeight="1" x14ac:dyDescent="0.55000000000000004">
      <c r="A14" s="83" t="s">
        <v>343</v>
      </c>
      <c r="B14" s="89">
        <v>100</v>
      </c>
      <c r="C14" s="89">
        <v>425</v>
      </c>
      <c r="D14" s="89">
        <v>425</v>
      </c>
      <c r="E14" s="89">
        <v>400</v>
      </c>
      <c r="F14" s="89">
        <v>450</v>
      </c>
      <c r="G14" s="89">
        <v>2400</v>
      </c>
      <c r="H14" s="89">
        <v>3986</v>
      </c>
      <c r="I14" s="89">
        <v>712</v>
      </c>
      <c r="J14" s="89">
        <v>2400</v>
      </c>
      <c r="K14" s="89">
        <v>450</v>
      </c>
      <c r="L14" s="89">
        <f>450+400</f>
        <v>850</v>
      </c>
      <c r="M14" s="89">
        <v>450</v>
      </c>
      <c r="N14" s="132" t="s">
        <v>285</v>
      </c>
      <c r="O14" s="89">
        <f t="shared" si="1"/>
        <v>13048</v>
      </c>
      <c r="P14" s="89"/>
      <c r="Q14" s="92"/>
      <c r="S14" s="44"/>
    </row>
    <row r="15" spans="1:19" ht="20.350000000000001" customHeight="1" x14ac:dyDescent="0.55000000000000004">
      <c r="A15" s="83" t="s">
        <v>327</v>
      </c>
      <c r="B15" s="89">
        <v>70</v>
      </c>
      <c r="C15" s="89">
        <v>70</v>
      </c>
      <c r="D15" s="89">
        <v>70</v>
      </c>
      <c r="E15" s="89">
        <v>70</v>
      </c>
      <c r="F15" s="89">
        <v>295</v>
      </c>
      <c r="G15" s="89">
        <v>200</v>
      </c>
      <c r="H15" s="89">
        <v>200</v>
      </c>
      <c r="I15" s="89">
        <v>70</v>
      </c>
      <c r="J15" s="89">
        <v>70</v>
      </c>
      <c r="K15" s="89">
        <v>70</v>
      </c>
      <c r="L15" s="89">
        <v>70</v>
      </c>
      <c r="M15" s="89">
        <v>70</v>
      </c>
      <c r="N15" s="132" t="s">
        <v>285</v>
      </c>
      <c r="O15" s="89">
        <f t="shared" si="1"/>
        <v>1325</v>
      </c>
      <c r="P15" s="92"/>
      <c r="Q15" s="92"/>
    </row>
    <row r="16" spans="1:19" ht="20.350000000000001" customHeight="1" x14ac:dyDescent="0.55000000000000004">
      <c r="A16" s="130" t="s">
        <v>326</v>
      </c>
      <c r="B16" s="89">
        <v>400</v>
      </c>
      <c r="C16" s="89">
        <v>400</v>
      </c>
      <c r="D16" s="89">
        <v>400</v>
      </c>
      <c r="E16" s="89">
        <v>400</v>
      </c>
      <c r="F16" s="89">
        <v>399.99</v>
      </c>
      <c r="G16" s="89"/>
      <c r="H16" s="89"/>
      <c r="I16" s="89"/>
      <c r="J16" s="89"/>
      <c r="K16" s="89"/>
      <c r="L16" s="89"/>
      <c r="M16" s="89"/>
      <c r="N16" s="89"/>
      <c r="O16" s="89">
        <f t="shared" si="1"/>
        <v>1999.99</v>
      </c>
      <c r="P16" s="92"/>
      <c r="Q16" s="92"/>
    </row>
    <row r="17" spans="1:21" ht="19.7" customHeight="1" x14ac:dyDescent="0.55000000000000004">
      <c r="A17" s="83" t="s">
        <v>341</v>
      </c>
      <c r="B17" s="114">
        <f>453*2*3</f>
        <v>2718</v>
      </c>
      <c r="C17" s="114"/>
      <c r="D17" s="114"/>
      <c r="E17" s="114"/>
      <c r="F17" s="114"/>
      <c r="G17" s="114"/>
      <c r="H17" s="89">
        <v>453</v>
      </c>
      <c r="I17" s="114">
        <v>453</v>
      </c>
      <c r="J17" s="114">
        <v>453</v>
      </c>
      <c r="K17" s="114">
        <v>453</v>
      </c>
      <c r="L17" s="114">
        <v>453</v>
      </c>
      <c r="M17" s="114">
        <v>485</v>
      </c>
      <c r="N17" s="114"/>
      <c r="O17" s="114">
        <f t="shared" si="1"/>
        <v>5468</v>
      </c>
      <c r="P17" s="123"/>
      <c r="Q17" s="114"/>
    </row>
    <row r="18" spans="1:21" ht="19.7" customHeight="1" x14ac:dyDescent="0.5">
      <c r="A18" s="83" t="s">
        <v>340</v>
      </c>
      <c r="B18" s="89">
        <v>863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89">
        <v>368</v>
      </c>
      <c r="N18" s="132" t="s">
        <v>285</v>
      </c>
      <c r="O18" s="89">
        <f t="shared" si="1"/>
        <v>1231</v>
      </c>
      <c r="P18" s="89"/>
      <c r="Q18" s="89"/>
    </row>
    <row r="19" spans="1:21" ht="19.7" customHeight="1" x14ac:dyDescent="0.5">
      <c r="A19" s="83" t="s">
        <v>339</v>
      </c>
      <c r="B19" s="89"/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89">
        <v>3300</v>
      </c>
      <c r="N19" s="132" t="s">
        <v>285</v>
      </c>
      <c r="O19" s="89"/>
      <c r="P19" s="89"/>
      <c r="Q19" s="89"/>
    </row>
    <row r="20" spans="1:21" ht="17.350000000000001" x14ac:dyDescent="0.5">
      <c r="A20" s="83" t="s">
        <v>308</v>
      </c>
      <c r="B20" s="89">
        <v>95</v>
      </c>
      <c r="C20" s="89">
        <v>110</v>
      </c>
      <c r="D20" s="89">
        <v>35</v>
      </c>
      <c r="E20" s="89">
        <v>125</v>
      </c>
      <c r="F20" s="89">
        <v>150</v>
      </c>
      <c r="G20" s="89">
        <v>0</v>
      </c>
      <c r="H20" s="89"/>
      <c r="I20" s="89"/>
      <c r="J20" s="89"/>
      <c r="K20" s="89"/>
      <c r="L20" s="89"/>
      <c r="M20" s="89"/>
      <c r="N20" s="89"/>
      <c r="O20" s="89">
        <f>SUM(B20:M20)</f>
        <v>515</v>
      </c>
      <c r="P20" s="89"/>
      <c r="Q20" s="118"/>
    </row>
    <row r="21" spans="1:21" ht="17.7" x14ac:dyDescent="0.55000000000000004">
      <c r="A21" s="83" t="s">
        <v>347</v>
      </c>
      <c r="B21" s="89">
        <v>37.4</v>
      </c>
      <c r="C21" s="89">
        <v>120</v>
      </c>
      <c r="D21" s="89"/>
      <c r="E21" s="89">
        <v>98</v>
      </c>
      <c r="F21" s="89">
        <v>123</v>
      </c>
      <c r="G21" s="89">
        <v>200</v>
      </c>
      <c r="H21" s="89">
        <v>192</v>
      </c>
      <c r="I21" s="89">
        <v>165</v>
      </c>
      <c r="J21" s="89">
        <v>150</v>
      </c>
      <c r="K21" s="89">
        <v>182</v>
      </c>
      <c r="L21" s="89">
        <v>215</v>
      </c>
      <c r="M21" s="89">
        <v>174</v>
      </c>
      <c r="N21" s="132" t="s">
        <v>285</v>
      </c>
      <c r="O21" s="89">
        <f>SUM(B21:M21)</f>
        <v>1656.4</v>
      </c>
      <c r="P21" s="92"/>
      <c r="Q21" s="118"/>
    </row>
    <row r="22" spans="1:21" ht="18.350000000000001" customHeight="1" x14ac:dyDescent="0.55000000000000004">
      <c r="A22" s="83" t="s">
        <v>183</v>
      </c>
      <c r="B22" s="114">
        <v>396</v>
      </c>
      <c r="C22" s="114">
        <v>396</v>
      </c>
      <c r="D22" s="114">
        <v>416</v>
      </c>
      <c r="E22" s="114">
        <v>416</v>
      </c>
      <c r="F22" s="114">
        <v>416</v>
      </c>
      <c r="G22" s="114">
        <v>416</v>
      </c>
      <c r="H22" s="114">
        <v>416</v>
      </c>
      <c r="I22" s="114">
        <v>416</v>
      </c>
      <c r="J22" s="114">
        <v>416</v>
      </c>
      <c r="K22" s="114">
        <v>416</v>
      </c>
      <c r="L22" s="114">
        <v>416</v>
      </c>
      <c r="M22" s="114">
        <v>416</v>
      </c>
      <c r="N22" s="132" t="s">
        <v>285</v>
      </c>
      <c r="O22" s="114">
        <f>SUM(B22:M22)</f>
        <v>4952</v>
      </c>
      <c r="P22" s="123"/>
      <c r="Q22" s="114"/>
    </row>
    <row r="23" spans="1:21" ht="17.350000000000001" x14ac:dyDescent="0.5">
      <c r="A23" s="83" t="s">
        <v>345</v>
      </c>
      <c r="B23" s="89">
        <v>63.45</v>
      </c>
      <c r="C23" s="89">
        <v>63.45</v>
      </c>
      <c r="D23" s="89">
        <v>63.45</v>
      </c>
      <c r="E23" s="89">
        <v>63.45</v>
      </c>
      <c r="F23" s="89">
        <v>63.45</v>
      </c>
      <c r="G23" s="89"/>
      <c r="H23" s="89">
        <v>63.45</v>
      </c>
      <c r="I23" s="89">
        <v>63.45</v>
      </c>
      <c r="J23" s="89">
        <v>63.45</v>
      </c>
      <c r="K23" s="89">
        <v>50</v>
      </c>
      <c r="L23" s="89">
        <v>64</v>
      </c>
      <c r="M23" s="89">
        <v>63</v>
      </c>
      <c r="N23" s="132" t="s">
        <v>285</v>
      </c>
      <c r="O23" s="89">
        <f>SUM(B23:M23)</f>
        <v>684.59999999999991</v>
      </c>
      <c r="P23" s="89"/>
      <c r="Q23" s="89"/>
    </row>
    <row r="24" spans="1:21" ht="20.7" customHeight="1" x14ac:dyDescent="0.55000000000000004">
      <c r="A24" s="83" t="s">
        <v>346</v>
      </c>
      <c r="B24" s="89">
        <v>50</v>
      </c>
      <c r="C24" s="89">
        <v>35</v>
      </c>
      <c r="D24" s="89">
        <v>35</v>
      </c>
      <c r="E24" s="89">
        <v>50</v>
      </c>
      <c r="F24" s="89">
        <v>50</v>
      </c>
      <c r="G24" s="89">
        <v>50</v>
      </c>
      <c r="H24" s="89">
        <v>35</v>
      </c>
      <c r="I24" s="89">
        <v>65</v>
      </c>
      <c r="J24" s="89">
        <v>35</v>
      </c>
      <c r="K24" s="89">
        <v>40</v>
      </c>
      <c r="L24" s="89">
        <v>75</v>
      </c>
      <c r="M24" s="89">
        <v>75</v>
      </c>
      <c r="N24" s="132" t="s">
        <v>285</v>
      </c>
      <c r="O24" s="89">
        <f>SUM(B24:M24)</f>
        <v>595</v>
      </c>
      <c r="P24" s="92"/>
      <c r="Q24" s="89"/>
    </row>
    <row r="25" spans="1:21" ht="20.7" customHeight="1" x14ac:dyDescent="0.55000000000000004">
      <c r="A25" s="83" t="s">
        <v>342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92"/>
      <c r="Q25" s="89"/>
    </row>
    <row r="26" spans="1:21" ht="17.350000000000001" x14ac:dyDescent="0.5">
      <c r="A26" s="83" t="s">
        <v>278</v>
      </c>
      <c r="B26" s="89">
        <v>96.52</v>
      </c>
      <c r="C26" s="93">
        <v>120</v>
      </c>
      <c r="D26" s="89">
        <v>100</v>
      </c>
      <c r="E26" s="89">
        <v>67.63</v>
      </c>
      <c r="F26" s="89">
        <v>46</v>
      </c>
      <c r="G26" s="89">
        <v>93</v>
      </c>
      <c r="H26" s="89">
        <v>95.25</v>
      </c>
      <c r="I26" s="89">
        <v>112.27</v>
      </c>
      <c r="J26" s="89">
        <v>215</v>
      </c>
      <c r="K26" s="89">
        <v>112.27</v>
      </c>
      <c r="L26" s="89">
        <v>75</v>
      </c>
      <c r="M26" s="89">
        <v>24</v>
      </c>
      <c r="N26" s="132" t="s">
        <v>285</v>
      </c>
      <c r="O26" s="89">
        <f t="shared" ref="O26:O33" si="2">SUM(B26:M26)</f>
        <v>1156.94</v>
      </c>
      <c r="P26" s="89"/>
      <c r="Q26" s="89"/>
    </row>
    <row r="27" spans="1:21" ht="17.350000000000001" x14ac:dyDescent="0.5">
      <c r="A27" s="83" t="s">
        <v>337</v>
      </c>
      <c r="B27" s="89">
        <v>200</v>
      </c>
      <c r="C27" s="89">
        <v>85</v>
      </c>
      <c r="D27" s="89"/>
      <c r="E27" s="89"/>
      <c r="F27" s="89">
        <v>0</v>
      </c>
      <c r="G27" s="89"/>
      <c r="H27" s="89">
        <v>200</v>
      </c>
      <c r="I27" s="89">
        <v>200</v>
      </c>
      <c r="J27" s="89">
        <v>200</v>
      </c>
      <c r="K27" s="89">
        <v>200</v>
      </c>
      <c r="L27" s="89">
        <v>200</v>
      </c>
      <c r="M27" s="89">
        <v>200</v>
      </c>
      <c r="N27" s="132" t="s">
        <v>285</v>
      </c>
      <c r="O27" s="89">
        <f t="shared" si="2"/>
        <v>1485</v>
      </c>
      <c r="P27" s="89"/>
      <c r="Q27" s="89"/>
    </row>
    <row r="28" spans="1:21" ht="17.7" x14ac:dyDescent="0.55000000000000004">
      <c r="A28" s="83" t="s">
        <v>240</v>
      </c>
      <c r="B28" s="92"/>
      <c r="C28" s="89"/>
      <c r="D28" s="89"/>
      <c r="E28" s="89"/>
      <c r="F28" s="92">
        <v>0</v>
      </c>
      <c r="G28" s="89"/>
      <c r="H28" s="89">
        <v>50</v>
      </c>
      <c r="I28" s="89">
        <v>50</v>
      </c>
      <c r="J28" s="89">
        <v>50</v>
      </c>
      <c r="K28" s="89">
        <v>50</v>
      </c>
      <c r="L28" s="89">
        <v>33</v>
      </c>
      <c r="M28" s="89"/>
      <c r="N28" s="89"/>
      <c r="O28" s="89">
        <f t="shared" si="2"/>
        <v>233</v>
      </c>
      <c r="P28" s="89"/>
      <c r="Q28" s="92"/>
    </row>
    <row r="29" spans="1:21" ht="17.7" x14ac:dyDescent="0.55000000000000004">
      <c r="A29" s="83" t="s">
        <v>265</v>
      </c>
      <c r="B29" s="89"/>
      <c r="C29" s="89">
        <v>1100</v>
      </c>
      <c r="D29" s="89"/>
      <c r="E29" s="89"/>
      <c r="F29" s="92"/>
      <c r="G29" s="89"/>
      <c r="H29" s="89"/>
      <c r="I29" s="89"/>
      <c r="J29" s="89"/>
      <c r="K29" s="92"/>
      <c r="L29" s="92"/>
      <c r="M29" s="89"/>
      <c r="N29" s="89"/>
      <c r="O29" s="89">
        <f t="shared" si="2"/>
        <v>1100</v>
      </c>
      <c r="P29" s="89"/>
      <c r="Q29" s="92"/>
    </row>
    <row r="30" spans="1:21" ht="17.7" x14ac:dyDescent="0.55000000000000004">
      <c r="A30" s="83" t="s">
        <v>275</v>
      </c>
      <c r="B30" s="89">
        <v>216.72</v>
      </c>
      <c r="C30" s="89">
        <v>219</v>
      </c>
      <c r="D30" s="89">
        <v>218</v>
      </c>
      <c r="E30" s="89">
        <v>217</v>
      </c>
      <c r="F30" s="89">
        <v>218</v>
      </c>
      <c r="G30" s="89">
        <v>219</v>
      </c>
      <c r="H30" s="89">
        <v>218</v>
      </c>
      <c r="I30" s="89">
        <v>234.12</v>
      </c>
      <c r="J30" s="89">
        <v>234.12</v>
      </c>
      <c r="K30" s="89">
        <v>225.24</v>
      </c>
      <c r="L30" s="89">
        <v>226</v>
      </c>
      <c r="M30" s="89">
        <v>225</v>
      </c>
      <c r="N30" s="132" t="s">
        <v>285</v>
      </c>
      <c r="O30" s="89">
        <f t="shared" si="2"/>
        <v>2670.2</v>
      </c>
      <c r="P30" s="92"/>
      <c r="Q30" s="92"/>
      <c r="R30" s="74"/>
      <c r="U30" s="74"/>
    </row>
    <row r="31" spans="1:21" ht="17.350000000000001" x14ac:dyDescent="0.5">
      <c r="A31" s="83" t="s">
        <v>236</v>
      </c>
      <c r="B31" s="89">
        <v>73.77</v>
      </c>
      <c r="C31" s="89">
        <v>74</v>
      </c>
      <c r="D31" s="89">
        <v>74</v>
      </c>
      <c r="E31" s="89">
        <v>74</v>
      </c>
      <c r="F31" s="89">
        <v>74</v>
      </c>
      <c r="G31" s="89">
        <v>74</v>
      </c>
      <c r="H31" s="89">
        <v>116</v>
      </c>
      <c r="I31" s="89">
        <v>77.55</v>
      </c>
      <c r="J31" s="89">
        <v>77.84</v>
      </c>
      <c r="K31" s="89">
        <v>77.959999999999994</v>
      </c>
      <c r="L31" s="89">
        <v>78</v>
      </c>
      <c r="M31" s="89">
        <v>78</v>
      </c>
      <c r="N31" s="132" t="s">
        <v>285</v>
      </c>
      <c r="O31" s="89">
        <f t="shared" si="2"/>
        <v>949.12</v>
      </c>
      <c r="P31" s="89"/>
      <c r="Q31" s="89"/>
      <c r="R31" s="74"/>
    </row>
    <row r="32" spans="1:21" ht="17.350000000000001" x14ac:dyDescent="0.5">
      <c r="A32" s="83" t="s">
        <v>178</v>
      </c>
      <c r="B32" s="89">
        <v>75</v>
      </c>
      <c r="C32" s="89"/>
      <c r="D32" s="89"/>
      <c r="E32" s="89"/>
      <c r="F32" s="89">
        <v>0</v>
      </c>
      <c r="G32" s="89"/>
      <c r="H32" s="89">
        <v>119</v>
      </c>
      <c r="I32" s="89"/>
      <c r="J32" s="89">
        <v>163.24</v>
      </c>
      <c r="K32" s="89"/>
      <c r="L32" s="89"/>
      <c r="M32" s="89"/>
      <c r="N32" s="89"/>
      <c r="O32" s="89">
        <f t="shared" si="2"/>
        <v>357.24</v>
      </c>
      <c r="P32" s="89"/>
      <c r="Q32" s="89"/>
    </row>
    <row r="33" spans="1:19" ht="17.7" x14ac:dyDescent="0.55000000000000004">
      <c r="A33" s="83" t="s">
        <v>29</v>
      </c>
      <c r="B33" s="91">
        <v>590</v>
      </c>
      <c r="C33" s="91">
        <v>590</v>
      </c>
      <c r="D33" s="91">
        <v>590</v>
      </c>
      <c r="E33" s="91">
        <v>590</v>
      </c>
      <c r="F33" s="91">
        <v>590</v>
      </c>
      <c r="G33" s="91">
        <v>590</v>
      </c>
      <c r="H33" s="91">
        <v>590</v>
      </c>
      <c r="I33" s="91"/>
      <c r="J33" s="91">
        <v>590</v>
      </c>
      <c r="K33" s="91">
        <v>590</v>
      </c>
      <c r="L33" s="91">
        <v>590</v>
      </c>
      <c r="M33" s="91">
        <v>590</v>
      </c>
      <c r="N33" s="132" t="s">
        <v>285</v>
      </c>
      <c r="O33" s="91">
        <f t="shared" si="2"/>
        <v>6490</v>
      </c>
      <c r="P33" s="92"/>
      <c r="Q33" s="91"/>
    </row>
    <row r="34" spans="1:19" s="104" customFormat="1" ht="17.7" x14ac:dyDescent="0.55000000000000004">
      <c r="A34" s="92"/>
      <c r="B34" s="89">
        <f t="shared" ref="B34:M34" si="3">SUM(B10:B33)</f>
        <v>7222.0700000000006</v>
      </c>
      <c r="C34" s="89">
        <f t="shared" si="3"/>
        <v>4370.45</v>
      </c>
      <c r="D34" s="89">
        <f t="shared" si="3"/>
        <v>2989.45</v>
      </c>
      <c r="E34" s="89">
        <f t="shared" si="3"/>
        <v>3827.29</v>
      </c>
      <c r="F34" s="89">
        <f t="shared" si="3"/>
        <v>3436.4399999999996</v>
      </c>
      <c r="G34" s="89">
        <f t="shared" si="3"/>
        <v>5080</v>
      </c>
      <c r="H34" s="89">
        <f t="shared" si="3"/>
        <v>8707.91</v>
      </c>
      <c r="I34" s="89">
        <f t="shared" si="3"/>
        <v>3621.39</v>
      </c>
      <c r="J34" s="89">
        <f t="shared" si="3"/>
        <v>5495.65</v>
      </c>
      <c r="K34" s="89">
        <f t="shared" si="3"/>
        <v>4306.68</v>
      </c>
      <c r="L34" s="89">
        <f t="shared" si="3"/>
        <v>4048</v>
      </c>
      <c r="M34" s="89">
        <f t="shared" si="3"/>
        <v>7908</v>
      </c>
      <c r="N34" s="89"/>
      <c r="O34" s="89">
        <f>SUM(O10:O33)</f>
        <v>57713.33</v>
      </c>
      <c r="P34" s="89"/>
      <c r="Q34" s="89">
        <f>SUM(Q10:Q33)</f>
        <v>0</v>
      </c>
      <c r="R34" s="104">
        <f>Q7-Q34</f>
        <v>0</v>
      </c>
    </row>
    <row r="35" spans="1:19" ht="17.7" x14ac:dyDescent="0.55000000000000004">
      <c r="A35" s="83" t="s">
        <v>129</v>
      </c>
      <c r="B35" s="89"/>
      <c r="C35" s="89"/>
      <c r="D35" s="89"/>
      <c r="E35" s="89"/>
      <c r="F35" s="89"/>
      <c r="G35" s="92"/>
      <c r="H35" s="92"/>
      <c r="I35" s="92"/>
      <c r="J35" s="92"/>
      <c r="K35" s="92"/>
      <c r="L35" s="92"/>
      <c r="M35" s="92"/>
      <c r="N35" s="92"/>
      <c r="O35" s="89"/>
      <c r="P35" s="83"/>
      <c r="Q35" s="82"/>
    </row>
    <row r="36" spans="1:19" ht="17.350000000000001" x14ac:dyDescent="0.5">
      <c r="A36" s="83" t="s">
        <v>87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89">
        <f>SUM(B36:M36)</f>
        <v>0</v>
      </c>
      <c r="P36" s="89"/>
      <c r="Q36" s="93"/>
    </row>
    <row r="37" spans="1:19" ht="17.350000000000001" x14ac:dyDescent="0.5">
      <c r="A37" s="83" t="s">
        <v>33</v>
      </c>
      <c r="B37" s="93">
        <v>200</v>
      </c>
      <c r="C37" s="93">
        <v>200</v>
      </c>
      <c r="D37" s="93">
        <v>300</v>
      </c>
      <c r="E37" s="93">
        <v>300</v>
      </c>
      <c r="F37" s="93">
        <v>300</v>
      </c>
      <c r="G37" s="93">
        <v>300</v>
      </c>
      <c r="H37" s="93">
        <v>300</v>
      </c>
      <c r="I37" s="93">
        <v>100</v>
      </c>
      <c r="J37" s="93">
        <v>300</v>
      </c>
      <c r="K37" s="93">
        <v>250</v>
      </c>
      <c r="L37" s="93">
        <v>250</v>
      </c>
      <c r="M37" s="93">
        <v>250</v>
      </c>
      <c r="N37" s="93"/>
      <c r="O37" s="89">
        <f>SUM(B37:M37)</f>
        <v>3050</v>
      </c>
      <c r="P37" s="89"/>
      <c r="Q37" s="95"/>
      <c r="S37" s="74"/>
    </row>
    <row r="38" spans="1:19" ht="17.350000000000001" x14ac:dyDescent="0.5">
      <c r="A38" s="83" t="s">
        <v>34</v>
      </c>
      <c r="B38" s="96">
        <v>120</v>
      </c>
      <c r="C38" s="96">
        <v>120</v>
      </c>
      <c r="D38" s="96">
        <v>120</v>
      </c>
      <c r="E38" s="96">
        <v>120</v>
      </c>
      <c r="F38" s="91">
        <v>120</v>
      </c>
      <c r="G38" s="91">
        <v>120</v>
      </c>
      <c r="H38" s="91">
        <v>75</v>
      </c>
      <c r="I38" s="91">
        <v>120</v>
      </c>
      <c r="J38" s="91">
        <v>120</v>
      </c>
      <c r="K38" s="91">
        <v>120</v>
      </c>
      <c r="L38" s="91">
        <v>120</v>
      </c>
      <c r="M38" s="91">
        <v>120</v>
      </c>
      <c r="N38" s="91"/>
      <c r="O38" s="91">
        <f>SUM(B38:M38)</f>
        <v>1395</v>
      </c>
      <c r="P38" s="89"/>
      <c r="Q38" s="90"/>
    </row>
    <row r="39" spans="1:19" s="115" customFormat="1" ht="17.350000000000001" x14ac:dyDescent="0.5">
      <c r="A39" s="94"/>
      <c r="B39" s="89">
        <f>SUM(B36:B38)</f>
        <v>320</v>
      </c>
      <c r="C39" s="89">
        <f t="shared" ref="C39:M39" si="4">SUM(C36:C38)</f>
        <v>320</v>
      </c>
      <c r="D39" s="89">
        <f t="shared" si="4"/>
        <v>420</v>
      </c>
      <c r="E39" s="89">
        <f t="shared" si="4"/>
        <v>420</v>
      </c>
      <c r="F39" s="89">
        <f t="shared" si="4"/>
        <v>420</v>
      </c>
      <c r="G39" s="89">
        <f t="shared" si="4"/>
        <v>420</v>
      </c>
      <c r="H39" s="89">
        <f t="shared" si="4"/>
        <v>375</v>
      </c>
      <c r="I39" s="89">
        <f t="shared" si="4"/>
        <v>220</v>
      </c>
      <c r="J39" s="89">
        <f t="shared" si="4"/>
        <v>420</v>
      </c>
      <c r="K39" s="89">
        <f t="shared" si="4"/>
        <v>370</v>
      </c>
      <c r="L39" s="89">
        <f t="shared" si="4"/>
        <v>370</v>
      </c>
      <c r="M39" s="89">
        <f t="shared" si="4"/>
        <v>370</v>
      </c>
      <c r="N39" s="89"/>
      <c r="O39" s="89">
        <f>O34+SUM(O36:O38)</f>
        <v>62158.33</v>
      </c>
      <c r="P39" s="94"/>
      <c r="Q39" s="94">
        <f>SUM(Q36:Q38)</f>
        <v>0</v>
      </c>
    </row>
    <row r="40" spans="1:19" ht="17.350000000000001" x14ac:dyDescent="0.5">
      <c r="A40" s="83" t="s">
        <v>130</v>
      </c>
      <c r="B40" s="89">
        <f>B34+B39</f>
        <v>7542.0700000000006</v>
      </c>
      <c r="C40" s="89">
        <f t="shared" ref="C40:M40" si="5">C34+C39</f>
        <v>4690.45</v>
      </c>
      <c r="D40" s="89">
        <f t="shared" si="5"/>
        <v>3409.45</v>
      </c>
      <c r="E40" s="89">
        <f t="shared" si="5"/>
        <v>4247.29</v>
      </c>
      <c r="F40" s="89">
        <f t="shared" si="5"/>
        <v>3856.4399999999996</v>
      </c>
      <c r="G40" s="89">
        <f t="shared" si="5"/>
        <v>5500</v>
      </c>
      <c r="H40" s="89">
        <f t="shared" si="5"/>
        <v>9082.91</v>
      </c>
      <c r="I40" s="89">
        <f t="shared" si="5"/>
        <v>3841.39</v>
      </c>
      <c r="J40" s="89">
        <f t="shared" si="5"/>
        <v>5915.65</v>
      </c>
      <c r="K40" s="89">
        <f t="shared" si="5"/>
        <v>4676.68</v>
      </c>
      <c r="L40" s="89">
        <f t="shared" si="5"/>
        <v>4418</v>
      </c>
      <c r="M40" s="89">
        <f t="shared" si="5"/>
        <v>8278</v>
      </c>
      <c r="N40" s="89"/>
      <c r="O40" s="89">
        <f>SUM(B40:M40)</f>
        <v>65458.33</v>
      </c>
      <c r="P40" s="89"/>
      <c r="Q40" s="88"/>
      <c r="S40" s="74"/>
    </row>
    <row r="41" spans="1:19" ht="17.7" x14ac:dyDescent="0.55000000000000004">
      <c r="A41" s="82" t="s">
        <v>338</v>
      </c>
      <c r="B41" s="89">
        <f t="shared" ref="B41:M41" si="6">B7-B40</f>
        <v>385.73999999999887</v>
      </c>
      <c r="C41" s="89">
        <f t="shared" si="6"/>
        <v>-5.8499999999994543</v>
      </c>
      <c r="D41" s="89">
        <f t="shared" si="6"/>
        <v>175.15000000000009</v>
      </c>
      <c r="E41" s="89">
        <f t="shared" si="6"/>
        <v>-662.69</v>
      </c>
      <c r="F41" s="89">
        <f t="shared" si="6"/>
        <v>-271.83999999999969</v>
      </c>
      <c r="G41" s="89">
        <f t="shared" si="6"/>
        <v>-515.39999999999964</v>
      </c>
      <c r="H41" s="89">
        <f t="shared" si="6"/>
        <v>501.69000000000051</v>
      </c>
      <c r="I41" s="89">
        <f t="shared" si="6"/>
        <v>1146.2100000000005</v>
      </c>
      <c r="J41" s="89">
        <f t="shared" si="6"/>
        <v>862.95000000000073</v>
      </c>
      <c r="K41" s="89">
        <f t="shared" si="6"/>
        <v>-239.07999999999993</v>
      </c>
      <c r="L41" s="89">
        <f t="shared" si="6"/>
        <v>19.600000000000364</v>
      </c>
      <c r="M41" s="89">
        <f t="shared" si="6"/>
        <v>-122.39999999999964</v>
      </c>
      <c r="N41" s="89"/>
      <c r="O41" s="89">
        <f>SUM(B41:M41)</f>
        <v>1274.0800000000027</v>
      </c>
      <c r="P41" s="89"/>
      <c r="Q41" s="99"/>
      <c r="S41" s="74"/>
    </row>
    <row r="42" spans="1:19" ht="17.7" x14ac:dyDescent="0.55000000000000004">
      <c r="A42" s="82"/>
      <c r="B42" s="89"/>
      <c r="C42" s="89"/>
      <c r="D42" s="89"/>
      <c r="E42" s="89"/>
      <c r="F42" s="89"/>
      <c r="G42" s="89"/>
      <c r="H42" s="92"/>
      <c r="I42" s="89"/>
      <c r="J42" s="89"/>
      <c r="K42" s="89"/>
      <c r="L42" s="89"/>
      <c r="M42" s="89"/>
      <c r="N42" s="89"/>
      <c r="O42" s="89"/>
      <c r="P42" s="89"/>
      <c r="Q42" s="99"/>
      <c r="S42" s="74"/>
    </row>
    <row r="43" spans="1:19" ht="17.7" x14ac:dyDescent="0.55000000000000004">
      <c r="A43" s="82"/>
      <c r="B43" s="8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89"/>
      <c r="P43" s="89"/>
      <c r="Q43" s="99"/>
      <c r="S43" s="74"/>
    </row>
    <row r="44" spans="1:19" ht="17.7" x14ac:dyDescent="0.55000000000000004">
      <c r="A44" s="83"/>
      <c r="B44" s="83"/>
      <c r="C44" s="83"/>
      <c r="D44" s="83"/>
      <c r="E44" s="83"/>
      <c r="F44" s="83"/>
      <c r="G44" s="83"/>
      <c r="H44" s="82"/>
      <c r="I44" s="82"/>
      <c r="J44" s="83"/>
      <c r="K44" s="83"/>
      <c r="L44" s="83"/>
      <c r="M44" s="83"/>
      <c r="N44" s="83"/>
      <c r="O44" s="83"/>
      <c r="P44" s="83"/>
      <c r="Q44" s="88"/>
    </row>
    <row r="45" spans="1:19" ht="17.7" x14ac:dyDescent="0.55000000000000004">
      <c r="A45" s="83" t="s">
        <v>333</v>
      </c>
      <c r="B45" s="83"/>
      <c r="C45" s="99"/>
      <c r="D45" s="98"/>
      <c r="E45" s="83"/>
      <c r="F45" s="83"/>
      <c r="G45" s="98"/>
      <c r="H45" s="83"/>
      <c r="I45" s="83"/>
      <c r="J45" s="100"/>
      <c r="K45" s="82"/>
      <c r="L45" s="83"/>
      <c r="M45" s="83"/>
      <c r="N45" s="83"/>
      <c r="O45" s="83"/>
      <c r="P45" s="83"/>
      <c r="Q45" s="83"/>
    </row>
    <row r="46" spans="1:19" ht="17.350000000000001" x14ac:dyDescent="0.5">
      <c r="A46" s="83" t="s">
        <v>330</v>
      </c>
      <c r="B46" s="83"/>
      <c r="C46" s="83"/>
      <c r="D46" s="83"/>
      <c r="E46" s="83"/>
      <c r="F46" s="83"/>
      <c r="G46" s="83"/>
      <c r="H46" s="83"/>
      <c r="I46" s="83"/>
      <c r="J46" s="99"/>
      <c r="K46" s="83"/>
      <c r="L46" s="83"/>
      <c r="M46" s="83"/>
      <c r="N46" s="83"/>
      <c r="O46" s="83"/>
      <c r="P46" s="83"/>
      <c r="Q46" s="83"/>
      <c r="R46" s="79"/>
    </row>
    <row r="47" spans="1:19" ht="17.7" x14ac:dyDescent="0.55000000000000004">
      <c r="A47" s="83" t="s">
        <v>331</v>
      </c>
      <c r="B47" s="83"/>
      <c r="C47" s="83"/>
      <c r="D47" s="83"/>
      <c r="E47" s="83"/>
      <c r="F47" s="83"/>
      <c r="G47" s="99"/>
      <c r="H47" s="99"/>
      <c r="I47" s="99"/>
      <c r="J47" s="83"/>
      <c r="K47" s="83"/>
      <c r="L47" s="83"/>
      <c r="M47" s="83"/>
      <c r="N47" s="83"/>
      <c r="O47" s="83"/>
      <c r="P47" s="83"/>
      <c r="Q47" s="82"/>
      <c r="R47" s="79"/>
    </row>
    <row r="48" spans="1:19" ht="17.7" x14ac:dyDescent="0.55000000000000004">
      <c r="A48" s="83" t="s">
        <v>332</v>
      </c>
      <c r="B48" s="83"/>
      <c r="C48" s="83"/>
      <c r="D48" s="83"/>
      <c r="E48" s="83"/>
      <c r="F48" s="83"/>
      <c r="G48" s="83"/>
      <c r="H48" s="83"/>
      <c r="I48" s="82"/>
      <c r="J48" s="83"/>
      <c r="K48" s="83"/>
      <c r="L48" s="83"/>
      <c r="M48" s="83"/>
      <c r="N48" s="83"/>
      <c r="O48" s="83"/>
      <c r="P48" s="83"/>
      <c r="Q48" s="83"/>
      <c r="R48" s="79"/>
    </row>
    <row r="49" spans="1:18" ht="17.7" x14ac:dyDescent="0.55000000000000004">
      <c r="A49" s="83" t="s">
        <v>234</v>
      </c>
      <c r="B49" s="83"/>
      <c r="C49" s="83"/>
      <c r="D49" s="83"/>
      <c r="E49" s="83"/>
      <c r="F49" s="83"/>
      <c r="G49" s="83"/>
      <c r="H49" s="83"/>
      <c r="I49" s="82"/>
      <c r="J49" s="83"/>
      <c r="K49" s="83"/>
      <c r="L49" s="83"/>
      <c r="M49" s="83"/>
      <c r="N49" s="83"/>
      <c r="O49" s="83"/>
      <c r="P49" s="83"/>
      <c r="Q49" s="83"/>
      <c r="R49" s="79"/>
    </row>
    <row r="50" spans="1:18" ht="17.7" x14ac:dyDescent="0.55000000000000004">
      <c r="A50" s="83"/>
      <c r="B50" s="83"/>
      <c r="C50" s="83"/>
      <c r="D50" s="83"/>
      <c r="E50" s="83"/>
      <c r="F50" s="83"/>
      <c r="G50" s="83"/>
      <c r="H50" s="83"/>
      <c r="I50" s="82"/>
      <c r="J50" s="83"/>
      <c r="K50" s="83"/>
      <c r="L50" s="83"/>
      <c r="M50" s="83"/>
      <c r="N50" s="83"/>
      <c r="O50" s="83"/>
      <c r="P50" s="83"/>
      <c r="Q50" s="83"/>
      <c r="R50" s="79"/>
    </row>
    <row r="51" spans="1:18" ht="17.7" x14ac:dyDescent="0.55000000000000004">
      <c r="A51" s="83"/>
      <c r="B51" s="83"/>
      <c r="C51" s="83"/>
      <c r="D51" s="83"/>
      <c r="E51" s="83"/>
      <c r="F51" s="83"/>
      <c r="G51" s="83"/>
      <c r="H51" s="83"/>
      <c r="I51" s="82"/>
      <c r="J51" s="83"/>
      <c r="K51" s="83"/>
      <c r="L51" s="83"/>
      <c r="M51" s="83"/>
      <c r="N51" s="83"/>
      <c r="O51" s="83"/>
      <c r="P51" s="83"/>
      <c r="Q51" s="83"/>
      <c r="R51" s="79"/>
    </row>
    <row r="52" spans="1:18" ht="17.7" x14ac:dyDescent="0.55000000000000004">
      <c r="A52" s="83"/>
      <c r="B52" s="83"/>
      <c r="C52" s="83"/>
      <c r="D52" s="83"/>
      <c r="E52" s="83"/>
      <c r="F52" s="83"/>
      <c r="G52" s="83"/>
      <c r="H52" s="83"/>
      <c r="I52" s="82"/>
      <c r="J52" s="83"/>
      <c r="K52" s="83"/>
      <c r="L52" s="83"/>
      <c r="M52" s="83"/>
      <c r="N52" s="83"/>
      <c r="O52" s="83"/>
      <c r="P52" s="83"/>
      <c r="Q52" s="83"/>
      <c r="R52" s="79"/>
    </row>
    <row r="53" spans="1:18" ht="17.7" x14ac:dyDescent="0.55000000000000004">
      <c r="A53" s="83"/>
      <c r="B53" s="83"/>
      <c r="C53" s="83"/>
      <c r="D53" s="83"/>
      <c r="E53" s="83"/>
      <c r="F53" s="83"/>
      <c r="G53" s="83"/>
      <c r="H53" s="83"/>
      <c r="I53" s="82"/>
      <c r="J53" s="83"/>
      <c r="K53" s="83"/>
      <c r="L53" s="83"/>
      <c r="M53" s="83"/>
      <c r="N53" s="83"/>
      <c r="O53" s="83"/>
      <c r="P53" s="83"/>
      <c r="Q53" s="83"/>
      <c r="R53" s="79"/>
    </row>
    <row r="54" spans="1:18" ht="17.7" x14ac:dyDescent="0.55000000000000004">
      <c r="A54" s="82" t="s">
        <v>324</v>
      </c>
      <c r="B54" s="83"/>
      <c r="C54" s="83"/>
      <c r="D54" s="83"/>
      <c r="E54" s="83"/>
      <c r="F54" s="83"/>
      <c r="G54" s="83"/>
      <c r="H54" s="83"/>
      <c r="I54" s="82"/>
      <c r="J54" s="83"/>
      <c r="K54" s="83"/>
      <c r="L54" s="83"/>
      <c r="M54" s="83"/>
      <c r="N54" s="83"/>
      <c r="O54" s="83"/>
      <c r="P54" s="83"/>
      <c r="Q54" s="83"/>
      <c r="R54" s="79"/>
    </row>
    <row r="55" spans="1:18" ht="17.350000000000001" x14ac:dyDescent="0.5">
      <c r="A55" s="83" t="s">
        <v>322</v>
      </c>
      <c r="B55" s="94">
        <v>39000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  <row r="56" spans="1:18" ht="17.350000000000001" x14ac:dyDescent="0.5">
      <c r="A56" s="83" t="s">
        <v>148</v>
      </c>
      <c r="B56" s="89">
        <v>-5850</v>
      </c>
      <c r="C56" s="83"/>
      <c r="D56" s="99"/>
      <c r="E56" s="83"/>
      <c r="F56" s="99"/>
      <c r="G56" s="99"/>
      <c r="H56" s="99"/>
      <c r="I56" s="99"/>
      <c r="J56" s="89"/>
      <c r="K56" s="83"/>
      <c r="L56" s="83"/>
      <c r="M56" s="83"/>
      <c r="N56" s="83"/>
      <c r="O56" s="83"/>
      <c r="P56" s="83"/>
      <c r="Q56" s="83"/>
    </row>
    <row r="57" spans="1:18" ht="17.350000000000001" x14ac:dyDescent="0.5">
      <c r="A57" s="83" t="s">
        <v>323</v>
      </c>
      <c r="B57" s="91">
        <v>-1950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</row>
    <row r="58" spans="1:18" ht="17.350000000000001" x14ac:dyDescent="0.5">
      <c r="A58" s="83" t="s">
        <v>232</v>
      </c>
      <c r="B58" s="94">
        <v>31200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1:18" ht="17.350000000000001" x14ac:dyDescent="0.5">
      <c r="A59" s="83"/>
      <c r="B59" s="129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8" ht="17.7" x14ac:dyDescent="0.55000000000000004">
      <c r="A60" s="82" t="s">
        <v>328</v>
      </c>
      <c r="B60" s="101"/>
      <c r="C60" s="99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1:18" ht="17.350000000000001" x14ac:dyDescent="0.5">
      <c r="A61" s="106" t="s">
        <v>329</v>
      </c>
      <c r="B61" s="94">
        <v>30000</v>
      </c>
      <c r="C61" s="83"/>
      <c r="D61" s="89">
        <v>23000</v>
      </c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</row>
    <row r="62" spans="1:18" ht="17.7" x14ac:dyDescent="0.55000000000000004">
      <c r="A62" s="82"/>
      <c r="B62" s="89">
        <f>-B61*18%</f>
        <v>-5400</v>
      </c>
      <c r="C62" s="83"/>
      <c r="D62" s="89">
        <v>-5641</v>
      </c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</row>
    <row r="63" spans="1:18" ht="17.350000000000001" x14ac:dyDescent="0.5">
      <c r="A63" s="83"/>
      <c r="B63" s="91">
        <f>-B61*5%</f>
        <v>-1500</v>
      </c>
      <c r="C63" s="83"/>
      <c r="D63" s="89">
        <v>-1150</v>
      </c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</row>
    <row r="64" spans="1:18" ht="17.350000000000001" x14ac:dyDescent="0.5">
      <c r="A64" s="83"/>
      <c r="B64" s="131">
        <f>SUM(B61:B63)</f>
        <v>23100</v>
      </c>
      <c r="C64" s="83"/>
      <c r="D64" s="89">
        <f>-906*5</f>
        <v>-4530</v>
      </c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</row>
    <row r="65" spans="1:17" ht="17.350000000000001" x14ac:dyDescent="0.5">
      <c r="A65" s="83"/>
      <c r="B65" s="101"/>
      <c r="C65" s="83"/>
      <c r="D65" s="89">
        <v>-1776</v>
      </c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</row>
    <row r="66" spans="1:17" ht="17.7" x14ac:dyDescent="0.55000000000000004">
      <c r="A66" s="83"/>
      <c r="B66" s="89"/>
      <c r="C66" s="83"/>
      <c r="D66" s="83"/>
      <c r="E66" s="83"/>
      <c r="F66" s="83"/>
      <c r="G66" s="82"/>
      <c r="H66" s="83"/>
      <c r="I66" s="83"/>
      <c r="J66" s="83"/>
      <c r="K66" s="83"/>
      <c r="L66" s="83"/>
      <c r="M66" s="83"/>
      <c r="N66" s="83"/>
      <c r="O66" s="83"/>
      <c r="P66" s="83"/>
      <c r="Q66" s="83"/>
    </row>
    <row r="67" spans="1:17" ht="17.350000000000001" x14ac:dyDescent="0.5">
      <c r="A67" s="128"/>
      <c r="B67" s="114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</row>
    <row r="68" spans="1:17" ht="17.7" x14ac:dyDescent="0.55000000000000004">
      <c r="A68" s="82"/>
      <c r="B68" s="101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1:17" ht="17.350000000000001" x14ac:dyDescent="0.5">
      <c r="A69" s="83"/>
      <c r="B69" s="89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</row>
    <row r="70" spans="1:17" ht="17.350000000000001" x14ac:dyDescent="0.5">
      <c r="A70" s="83"/>
      <c r="B70" s="99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spans="1:17" ht="17.350000000000001" x14ac:dyDescent="0.5">
      <c r="A71" s="83"/>
      <c r="B71" s="101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2" spans="1:17" ht="17.350000000000001" x14ac:dyDescent="0.5">
      <c r="A72" s="83"/>
      <c r="B72" s="101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</row>
    <row r="73" spans="1:17" ht="17.350000000000001" x14ac:dyDescent="0.5">
      <c r="A73" s="83"/>
      <c r="B73" s="101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</row>
    <row r="74" spans="1:17" ht="17.350000000000001" x14ac:dyDescent="0.5">
      <c r="A74" s="83"/>
      <c r="B74" s="101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</row>
    <row r="75" spans="1:17" ht="17.350000000000001" x14ac:dyDescent="0.5">
      <c r="A75" s="83"/>
      <c r="B75" s="101"/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</row>
    <row r="76" spans="1:17" ht="17.350000000000001" x14ac:dyDescent="0.5">
      <c r="A76" s="83"/>
      <c r="B76" s="101"/>
      <c r="C76" s="83"/>
      <c r="D76" s="83"/>
      <c r="E76" s="83"/>
      <c r="F76" s="83"/>
      <c r="G76" s="83"/>
      <c r="H76" s="83"/>
      <c r="I76" s="83"/>
      <c r="J76" s="83"/>
      <c r="K76" s="83"/>
      <c r="L76" s="83"/>
      <c r="M76" s="83"/>
      <c r="N76" s="83"/>
      <c r="O76" s="83"/>
      <c r="P76" s="83"/>
      <c r="Q76" s="83"/>
    </row>
    <row r="77" spans="1:17" ht="17.350000000000001" x14ac:dyDescent="0.5">
      <c r="A77" s="83"/>
      <c r="B77" s="83"/>
      <c r="C77" s="83"/>
      <c r="D77" s="83"/>
      <c r="E77" s="83"/>
      <c r="F77" s="83"/>
      <c r="G77" s="83"/>
      <c r="H77" s="83"/>
      <c r="I77" s="83"/>
      <c r="J77" s="83"/>
      <c r="K77" s="83"/>
      <c r="L77" s="83"/>
      <c r="M77" s="83"/>
      <c r="N77" s="83"/>
      <c r="O77" s="83"/>
      <c r="P77" s="83"/>
      <c r="Q77" s="83"/>
    </row>
    <row r="78" spans="1:17" ht="17.350000000000001" x14ac:dyDescent="0.5">
      <c r="A78" s="105"/>
      <c r="B78" s="125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</row>
    <row r="79" spans="1:17" ht="17.350000000000001" x14ac:dyDescent="0.5">
      <c r="A79" s="105" t="s">
        <v>302</v>
      </c>
      <c r="B79" s="88"/>
      <c r="C79" s="88"/>
      <c r="D79" s="88"/>
      <c r="E79" s="88">
        <v>750</v>
      </c>
      <c r="F79" s="88"/>
      <c r="G79" s="88">
        <v>200</v>
      </c>
      <c r="H79" s="88">
        <v>200</v>
      </c>
      <c r="I79" s="88">
        <v>200</v>
      </c>
      <c r="J79" s="88">
        <v>200</v>
      </c>
      <c r="K79" s="88">
        <v>200</v>
      </c>
      <c r="L79" s="88">
        <v>200</v>
      </c>
      <c r="M79" s="88">
        <v>200</v>
      </c>
      <c r="N79" s="88"/>
      <c r="O79" s="89">
        <f>B79-SUM(E79:M79)</f>
        <v>-2150</v>
      </c>
      <c r="P79" s="83"/>
      <c r="Q79" s="83"/>
    </row>
    <row r="80" spans="1:17" ht="17.350000000000001" x14ac:dyDescent="0.5">
      <c r="A80" s="83" t="s">
        <v>303</v>
      </c>
      <c r="B80" s="88"/>
      <c r="C80" s="98"/>
      <c r="D80" s="98"/>
      <c r="E80" s="89">
        <v>300</v>
      </c>
      <c r="F80" s="89"/>
      <c r="G80" s="89">
        <v>300</v>
      </c>
      <c r="H80" s="89">
        <v>300</v>
      </c>
      <c r="I80" s="89">
        <v>300</v>
      </c>
      <c r="J80" s="89">
        <v>300</v>
      </c>
      <c r="K80" s="89">
        <v>300</v>
      </c>
      <c r="L80" s="89">
        <v>300</v>
      </c>
      <c r="M80" s="89">
        <v>300</v>
      </c>
      <c r="N80" s="89"/>
      <c r="O80" s="89">
        <f>B80-SUM(E80:M80)</f>
        <v>-2400</v>
      </c>
      <c r="P80" s="83"/>
      <c r="Q80" s="83"/>
    </row>
    <row r="81" spans="1:17" ht="17.350000000000001" x14ac:dyDescent="0.5">
      <c r="A81" s="83" t="s">
        <v>304</v>
      </c>
      <c r="B81" s="90"/>
      <c r="C81" s="98"/>
      <c r="D81" s="98"/>
      <c r="E81" s="89">
        <v>1200</v>
      </c>
      <c r="F81" s="89"/>
      <c r="G81" s="89">
        <v>400</v>
      </c>
      <c r="H81" s="89">
        <v>400</v>
      </c>
      <c r="I81" s="89">
        <v>400</v>
      </c>
      <c r="J81" s="89">
        <v>400</v>
      </c>
      <c r="K81" s="89">
        <v>400</v>
      </c>
      <c r="L81" s="89">
        <v>400</v>
      </c>
      <c r="M81" s="89">
        <v>400</v>
      </c>
      <c r="N81" s="89"/>
      <c r="O81" s="89">
        <f>B81-SUM(E81:M81)</f>
        <v>-4000</v>
      </c>
      <c r="P81" s="83"/>
      <c r="Q81" s="83"/>
    </row>
    <row r="82" spans="1:17" ht="17.350000000000001" x14ac:dyDescent="0.5">
      <c r="A82" s="83" t="s">
        <v>44</v>
      </c>
      <c r="B82" s="89">
        <f>SUM(B79:B81)</f>
        <v>0</v>
      </c>
      <c r="C82" s="88"/>
      <c r="D82" s="98"/>
      <c r="E82" s="89">
        <f t="shared" ref="E82:M82" si="7">SUM(E79:E81)</f>
        <v>2250</v>
      </c>
      <c r="F82" s="89"/>
      <c r="G82" s="89">
        <f t="shared" si="7"/>
        <v>900</v>
      </c>
      <c r="H82" s="89">
        <f t="shared" si="7"/>
        <v>900</v>
      </c>
      <c r="I82" s="89">
        <f t="shared" si="7"/>
        <v>900</v>
      </c>
      <c r="J82" s="89">
        <f t="shared" si="7"/>
        <v>900</v>
      </c>
      <c r="K82" s="89">
        <f t="shared" si="7"/>
        <v>900</v>
      </c>
      <c r="L82" s="89">
        <f t="shared" si="7"/>
        <v>900</v>
      </c>
      <c r="M82" s="89">
        <f t="shared" si="7"/>
        <v>900</v>
      </c>
      <c r="N82" s="89"/>
      <c r="O82" s="89">
        <f>B82-SUM(D82:M82)</f>
        <v>-8550</v>
      </c>
      <c r="P82" s="83"/>
      <c r="Q82" s="83"/>
    </row>
    <row r="83" spans="1:17" ht="17.7" x14ac:dyDescent="0.55000000000000004">
      <c r="A83" s="83"/>
      <c r="B83" s="88"/>
      <c r="C83" s="113"/>
      <c r="D83" s="98"/>
      <c r="E83" s="89"/>
      <c r="F83" s="83"/>
      <c r="G83" s="83"/>
      <c r="H83" s="83"/>
      <c r="I83" s="83"/>
      <c r="J83" s="83"/>
      <c r="K83" s="83"/>
      <c r="L83" s="83"/>
      <c r="M83" s="83"/>
      <c r="N83" s="83"/>
      <c r="O83" s="89">
        <f>B83-SUM(D83:M83)</f>
        <v>0</v>
      </c>
      <c r="P83" s="103"/>
      <c r="Q83" s="83"/>
    </row>
    <row r="84" spans="1:17" ht="17.7" x14ac:dyDescent="0.55000000000000004">
      <c r="A84" s="83"/>
      <c r="B84" s="114"/>
      <c r="C84" s="82"/>
      <c r="D84" s="98"/>
      <c r="E84" s="89"/>
      <c r="F84" s="83"/>
      <c r="G84" s="83"/>
      <c r="H84" s="83"/>
      <c r="I84" s="83"/>
      <c r="J84" s="83"/>
      <c r="K84" s="83"/>
      <c r="L84" s="83"/>
      <c r="M84" s="83"/>
      <c r="N84" s="83"/>
      <c r="O84" s="89">
        <f>B84-SUM(D84:M84)</f>
        <v>0</v>
      </c>
      <c r="P84" s="83"/>
      <c r="Q84" s="83"/>
    </row>
    <row r="85" spans="1:17" ht="17.7" x14ac:dyDescent="0.55000000000000004">
      <c r="A85" s="83"/>
      <c r="B85" s="89"/>
      <c r="C85" s="89">
        <f>SUM(C79:C84)</f>
        <v>0</v>
      </c>
      <c r="D85" s="89"/>
      <c r="E85" s="89"/>
      <c r="F85" s="88"/>
      <c r="G85" s="88"/>
      <c r="H85" s="88"/>
      <c r="I85" s="88"/>
      <c r="J85" s="88"/>
      <c r="K85" s="88"/>
      <c r="L85" s="88"/>
      <c r="M85" s="88"/>
      <c r="N85" s="88"/>
      <c r="O85" s="89"/>
      <c r="P85" s="82"/>
      <c r="Q85" s="83"/>
    </row>
    <row r="86" spans="1:17" ht="17.350000000000001" x14ac:dyDescent="0.5">
      <c r="A86" s="83"/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</row>
    <row r="88" spans="1:17" ht="17.350000000000001" x14ac:dyDescent="0.5">
      <c r="A88" s="83"/>
      <c r="B88" s="83"/>
      <c r="C88" s="83"/>
      <c r="F88" s="78"/>
      <c r="P88" s="44"/>
    </row>
    <row r="89" spans="1:17" ht="17.350000000000001" x14ac:dyDescent="0.5">
      <c r="A89" s="83"/>
      <c r="B89" s="83"/>
      <c r="C89" s="83"/>
      <c r="F89" s="78"/>
    </row>
    <row r="90" spans="1:17" ht="17.350000000000001" x14ac:dyDescent="0.5">
      <c r="A90" s="83"/>
      <c r="B90" s="83"/>
      <c r="C90" s="83"/>
      <c r="F90" s="77"/>
    </row>
    <row r="91" spans="1:17" ht="17.350000000000001" x14ac:dyDescent="0.5">
      <c r="A91" s="83"/>
      <c r="B91" s="83"/>
      <c r="C91" s="83"/>
      <c r="F91" s="77"/>
    </row>
    <row r="92" spans="1:17" ht="17.350000000000001" x14ac:dyDescent="0.5">
      <c r="A92" s="83"/>
      <c r="B92" s="83"/>
      <c r="C92" s="83"/>
    </row>
    <row r="93" spans="1:17" ht="17.350000000000001" x14ac:dyDescent="0.5">
      <c r="A93" s="83"/>
      <c r="B93" s="83"/>
      <c r="C93" s="83"/>
      <c r="D93" s="74"/>
    </row>
    <row r="94" spans="1:17" ht="17.350000000000001" x14ac:dyDescent="0.5">
      <c r="A94" s="83"/>
      <c r="B94" s="83"/>
      <c r="C94" s="83"/>
    </row>
  </sheetData>
  <pageMargins left="0.25" right="0" top="0.5" bottom="1" header="0.5" footer="0.5"/>
  <pageSetup scale="65" orientation="landscape" r:id="rId1"/>
  <headerFooter alignWithMargins="0"/>
  <rowBreaks count="1" manualBreakCount="1">
    <brk id="4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A357C2-833B-4902-AFE5-675A02C69728}">
  <dimension ref="A1:U91"/>
  <sheetViews>
    <sheetView zoomScale="69" zoomScaleNormal="70" workbookViewId="0">
      <pane ySplit="1" topLeftCell="A2" activePane="bottomLeft" state="frozen"/>
      <selection pane="bottomLeft" activeCell="I15" sqref="I15"/>
    </sheetView>
  </sheetViews>
  <sheetFormatPr defaultColWidth="9.05859375" defaultRowHeight="15" x14ac:dyDescent="0.45"/>
  <cols>
    <col min="1" max="1" width="32.5859375" style="75" customWidth="1"/>
    <col min="2" max="2" width="14.5859375" style="75" customWidth="1"/>
    <col min="3" max="3" width="13.52734375" style="75" customWidth="1"/>
    <col min="4" max="4" width="13.29296875" style="75" customWidth="1"/>
    <col min="5" max="5" width="13.1171875" style="75" customWidth="1"/>
    <col min="6" max="6" width="13.3515625" style="75" customWidth="1"/>
    <col min="7" max="7" width="12.9375" style="75" customWidth="1"/>
    <col min="8" max="8" width="13" style="75" customWidth="1"/>
    <col min="9" max="9" width="14.703125" style="75" customWidth="1"/>
    <col min="10" max="10" width="12.46875" style="75" customWidth="1"/>
    <col min="11" max="11" width="14.87890625" style="75" customWidth="1"/>
    <col min="12" max="12" width="12.64453125" style="75" customWidth="1"/>
    <col min="13" max="13" width="13.8203125" style="75" customWidth="1"/>
    <col min="14" max="14" width="3" style="75" customWidth="1"/>
    <col min="15" max="15" width="14.87890625" style="75" customWidth="1"/>
    <col min="16" max="16" width="12.1171875" style="75" customWidth="1"/>
    <col min="17" max="17" width="14.1171875" style="75" customWidth="1"/>
    <col min="18" max="18" width="13.46875" style="75" customWidth="1"/>
    <col min="19" max="16384" width="9.05859375" style="75"/>
  </cols>
  <sheetData>
    <row r="1" spans="1:19" ht="17.7" x14ac:dyDescent="0.55000000000000004">
      <c r="A1" s="82" t="s">
        <v>300</v>
      </c>
      <c r="B1" s="84" t="s">
        <v>40</v>
      </c>
      <c r="C1" s="84" t="s">
        <v>43</v>
      </c>
      <c r="D1" s="84" t="s">
        <v>50</v>
      </c>
      <c r="E1" s="84" t="s">
        <v>51</v>
      </c>
      <c r="F1" s="84" t="s">
        <v>46</v>
      </c>
      <c r="G1" s="84" t="s">
        <v>47</v>
      </c>
      <c r="H1" s="84" t="s">
        <v>0</v>
      </c>
      <c r="I1" s="84" t="s">
        <v>3</v>
      </c>
      <c r="J1" s="84" t="s">
        <v>10</v>
      </c>
      <c r="K1" s="84" t="s">
        <v>11</v>
      </c>
      <c r="L1" s="84" t="s">
        <v>12</v>
      </c>
      <c r="M1" s="84" t="s">
        <v>13</v>
      </c>
      <c r="N1" s="84"/>
      <c r="O1" s="84" t="s">
        <v>44</v>
      </c>
      <c r="P1" s="86"/>
      <c r="Q1" s="83"/>
    </row>
    <row r="2" spans="1:19" ht="17.7" x14ac:dyDescent="0.55000000000000004">
      <c r="A2" s="82" t="s">
        <v>77</v>
      </c>
      <c r="B2" s="86"/>
      <c r="C2" s="83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3"/>
    </row>
    <row r="3" spans="1:19" ht="17.350000000000001" x14ac:dyDescent="0.5">
      <c r="A3" s="83" t="s">
        <v>125</v>
      </c>
      <c r="B3" s="89">
        <v>2691.3</v>
      </c>
      <c r="C3" s="89">
        <v>2691.3</v>
      </c>
      <c r="D3" s="89">
        <v>2691.3</v>
      </c>
      <c r="E3" s="89">
        <v>2691.3</v>
      </c>
      <c r="F3" s="89">
        <v>2691.3</v>
      </c>
      <c r="G3" s="89">
        <v>2691.3</v>
      </c>
      <c r="H3" s="89">
        <v>2691.3</v>
      </c>
      <c r="I3" s="89">
        <v>2691.3</v>
      </c>
      <c r="J3" s="89">
        <v>2807.3</v>
      </c>
      <c r="K3" s="89">
        <v>2807.3</v>
      </c>
      <c r="L3" s="89">
        <v>2807.3</v>
      </c>
      <c r="M3" s="89">
        <v>2807.3</v>
      </c>
      <c r="N3" s="89"/>
      <c r="O3" s="89">
        <f>SUM(B3:M3)</f>
        <v>32759.599999999995</v>
      </c>
      <c r="P3" s="89"/>
      <c r="Q3" s="89"/>
    </row>
    <row r="4" spans="1:19" ht="17.7" x14ac:dyDescent="0.55000000000000004">
      <c r="A4" s="83" t="s">
        <v>126</v>
      </c>
      <c r="B4" s="89">
        <v>400</v>
      </c>
      <c r="C4" s="89">
        <v>400</v>
      </c>
      <c r="D4" s="89">
        <v>400</v>
      </c>
      <c r="E4" s="89">
        <v>400</v>
      </c>
      <c r="F4" s="89">
        <v>400</v>
      </c>
      <c r="G4" s="89">
        <v>400</v>
      </c>
      <c r="H4" s="89">
        <v>500</v>
      </c>
      <c r="I4" s="89">
        <v>500</v>
      </c>
      <c r="J4" s="89">
        <v>500</v>
      </c>
      <c r="K4" s="89">
        <v>500</v>
      </c>
      <c r="L4" s="89">
        <v>500</v>
      </c>
      <c r="M4" s="89"/>
      <c r="N4" s="124" t="s">
        <v>285</v>
      </c>
      <c r="O4" s="89">
        <f>SUM(B4:M4)</f>
        <v>4900</v>
      </c>
      <c r="P4" s="92"/>
      <c r="Q4" s="83"/>
    </row>
    <row r="5" spans="1:19" ht="17.350000000000001" x14ac:dyDescent="0.5">
      <c r="A5" s="83" t="s">
        <v>301</v>
      </c>
      <c r="B5" s="89"/>
      <c r="C5" s="89"/>
      <c r="D5" s="89"/>
      <c r="E5" s="89">
        <v>1700</v>
      </c>
      <c r="F5" s="89"/>
      <c r="G5" s="89"/>
      <c r="H5" s="89"/>
      <c r="I5" s="89"/>
      <c r="J5" s="89"/>
      <c r="K5" s="89"/>
      <c r="L5" s="89"/>
      <c r="M5" s="89"/>
      <c r="N5" s="89"/>
      <c r="O5" s="89">
        <f>SUM(B5:M5)</f>
        <v>1700</v>
      </c>
      <c r="P5" s="89"/>
      <c r="Q5" s="98"/>
    </row>
    <row r="6" spans="1:19" ht="17.7" x14ac:dyDescent="0.55000000000000004">
      <c r="A6" s="83" t="s">
        <v>250</v>
      </c>
      <c r="B6" s="91">
        <f>678+300+395+638</f>
        <v>2011</v>
      </c>
      <c r="C6" s="91">
        <f>156+395+1069</f>
        <v>1620</v>
      </c>
      <c r="D6" s="91">
        <v>395</v>
      </c>
      <c r="E6" s="91">
        <f>395+678</f>
        <v>1073</v>
      </c>
      <c r="F6" s="91">
        <v>895</v>
      </c>
      <c r="G6" s="91">
        <f>395+395+200</f>
        <v>990</v>
      </c>
      <c r="H6" s="91">
        <f>2375+1485</f>
        <v>3860</v>
      </c>
      <c r="I6" s="91"/>
      <c r="J6" s="91"/>
      <c r="K6" s="91"/>
      <c r="L6" s="91"/>
      <c r="M6" s="91"/>
      <c r="N6" s="91"/>
      <c r="O6" s="91">
        <f>SUM(B6:M6)</f>
        <v>10844</v>
      </c>
      <c r="P6" s="92"/>
      <c r="Q6" s="89"/>
    </row>
    <row r="7" spans="1:19" ht="17.350000000000001" x14ac:dyDescent="0.5">
      <c r="A7" s="83" t="s">
        <v>44</v>
      </c>
      <c r="B7" s="89">
        <f t="shared" ref="B7:K7" si="0">SUM(B3:B6)</f>
        <v>5102.3</v>
      </c>
      <c r="C7" s="89">
        <f t="shared" si="0"/>
        <v>4711.3</v>
      </c>
      <c r="D7" s="89">
        <f t="shared" si="0"/>
        <v>3486.3</v>
      </c>
      <c r="E7" s="89">
        <f t="shared" si="0"/>
        <v>5864.3</v>
      </c>
      <c r="F7" s="89">
        <f t="shared" si="0"/>
        <v>3986.3</v>
      </c>
      <c r="G7" s="89">
        <f t="shared" si="0"/>
        <v>4081.3</v>
      </c>
      <c r="H7" s="89">
        <f t="shared" si="0"/>
        <v>7051.3</v>
      </c>
      <c r="I7" s="89">
        <f t="shared" si="0"/>
        <v>3191.3</v>
      </c>
      <c r="J7" s="89">
        <f t="shared" si="0"/>
        <v>3307.3</v>
      </c>
      <c r="K7" s="89">
        <f t="shared" si="0"/>
        <v>3307.3</v>
      </c>
      <c r="L7" s="89">
        <f>SUM(L3:L6)</f>
        <v>3307.3</v>
      </c>
      <c r="M7" s="89">
        <f>SUM(M3:M6)</f>
        <v>2807.3</v>
      </c>
      <c r="N7" s="89"/>
      <c r="O7" s="89">
        <f>SUM(B7:M7)</f>
        <v>50203.600000000013</v>
      </c>
      <c r="P7" s="89">
        <f>SUM(P3:P6)</f>
        <v>0</v>
      </c>
      <c r="Q7" s="89">
        <f>SUM(Q4:Q6)</f>
        <v>0</v>
      </c>
    </row>
    <row r="8" spans="1:19" ht="17.350000000000001" x14ac:dyDescent="0.5">
      <c r="A8" s="83"/>
      <c r="B8" s="116"/>
      <c r="C8" s="89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86"/>
      <c r="Q8" s="83"/>
    </row>
    <row r="9" spans="1:19" ht="17.7" x14ac:dyDescent="0.55000000000000004">
      <c r="A9" s="82" t="s">
        <v>128</v>
      </c>
      <c r="B9" s="116"/>
      <c r="C9" s="89"/>
      <c r="D9" s="116"/>
      <c r="E9" s="116"/>
      <c r="F9" s="116"/>
      <c r="G9" s="116"/>
      <c r="H9" s="116"/>
      <c r="I9" s="116"/>
      <c r="J9" s="116"/>
      <c r="K9" s="116"/>
      <c r="L9" s="116"/>
      <c r="M9" s="117"/>
      <c r="N9" s="117"/>
      <c r="O9" s="116"/>
      <c r="P9" s="86"/>
      <c r="Q9" s="83"/>
    </row>
    <row r="10" spans="1:19" ht="15.75" customHeight="1" x14ac:dyDescent="0.5">
      <c r="A10" s="83" t="s">
        <v>315</v>
      </c>
      <c r="B10" s="89">
        <v>150</v>
      </c>
      <c r="C10" s="89">
        <v>150</v>
      </c>
      <c r="D10" s="89">
        <v>150</v>
      </c>
      <c r="E10" s="89">
        <v>750</v>
      </c>
      <c r="F10" s="89">
        <v>275</v>
      </c>
      <c r="G10" s="89">
        <v>275</v>
      </c>
      <c r="H10" s="89">
        <v>275</v>
      </c>
      <c r="I10" s="89">
        <v>275</v>
      </c>
      <c r="J10" s="89">
        <v>275</v>
      </c>
      <c r="K10" s="89">
        <v>275</v>
      </c>
      <c r="L10" s="89">
        <v>275</v>
      </c>
      <c r="M10" s="89">
        <v>375</v>
      </c>
      <c r="N10" s="89"/>
      <c r="O10" s="89">
        <f t="shared" ref="O10:O31" si="1">SUM(B10:M10)</f>
        <v>3500</v>
      </c>
      <c r="P10" s="89"/>
      <c r="Q10" s="89"/>
    </row>
    <row r="11" spans="1:19" ht="17.7" x14ac:dyDescent="0.55000000000000004">
      <c r="A11" s="83" t="s">
        <v>172</v>
      </c>
      <c r="B11" s="89">
        <v>678.06</v>
      </c>
      <c r="C11" s="89"/>
      <c r="D11" s="89"/>
      <c r="E11" s="89">
        <v>678.06</v>
      </c>
      <c r="F11" s="89"/>
      <c r="G11" s="89"/>
      <c r="H11" s="89"/>
      <c r="I11" s="89"/>
      <c r="J11" s="89"/>
      <c r="K11" s="89">
        <v>1.39</v>
      </c>
      <c r="L11" s="89"/>
      <c r="M11" s="89"/>
      <c r="N11" s="89"/>
      <c r="O11" s="89">
        <f t="shared" si="1"/>
        <v>1357.51</v>
      </c>
      <c r="P11" s="92"/>
      <c r="Q11" s="89"/>
    </row>
    <row r="12" spans="1:19" ht="17.350000000000001" x14ac:dyDescent="0.5">
      <c r="A12" s="83" t="s">
        <v>316</v>
      </c>
      <c r="B12" s="89">
        <v>75</v>
      </c>
      <c r="C12" s="89">
        <v>75</v>
      </c>
      <c r="D12" s="89">
        <v>75</v>
      </c>
      <c r="E12" s="89">
        <v>75</v>
      </c>
      <c r="F12" s="89">
        <v>75</v>
      </c>
      <c r="G12" s="89">
        <v>75</v>
      </c>
      <c r="H12" s="89">
        <v>75</v>
      </c>
      <c r="I12" s="89">
        <v>75</v>
      </c>
      <c r="J12" s="89">
        <v>75</v>
      </c>
      <c r="K12" s="89">
        <v>112</v>
      </c>
      <c r="L12" s="89">
        <v>75</v>
      </c>
      <c r="M12" s="89">
        <v>300</v>
      </c>
      <c r="N12" s="89"/>
      <c r="O12" s="89">
        <f t="shared" si="1"/>
        <v>1162</v>
      </c>
      <c r="P12" s="89"/>
      <c r="Q12" s="89"/>
    </row>
    <row r="13" spans="1:19" ht="17.350000000000001" x14ac:dyDescent="0.5">
      <c r="A13" s="83" t="s">
        <v>317</v>
      </c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>
        <f t="shared" si="1"/>
        <v>0</v>
      </c>
      <c r="P13" s="89"/>
      <c r="Q13" s="89"/>
    </row>
    <row r="14" spans="1:19" ht="20.350000000000001" customHeight="1" x14ac:dyDescent="0.55000000000000004">
      <c r="A14" s="83" t="s">
        <v>318</v>
      </c>
      <c r="B14" s="89">
        <v>400</v>
      </c>
      <c r="C14" s="89">
        <v>400</v>
      </c>
      <c r="D14" s="89">
        <v>400</v>
      </c>
      <c r="E14" s="89">
        <v>1200</v>
      </c>
      <c r="F14" s="89">
        <v>400</v>
      </c>
      <c r="G14" s="89">
        <v>400</v>
      </c>
      <c r="H14" s="89">
        <v>400</v>
      </c>
      <c r="I14" s="89">
        <v>375</v>
      </c>
      <c r="J14" s="89">
        <v>375</v>
      </c>
      <c r="K14" s="89">
        <v>375</v>
      </c>
      <c r="L14" s="89">
        <v>400</v>
      </c>
      <c r="M14" s="89">
        <v>500</v>
      </c>
      <c r="N14" s="89"/>
      <c r="O14" s="89">
        <f t="shared" si="1"/>
        <v>5625</v>
      </c>
      <c r="P14" s="89"/>
      <c r="Q14" s="92"/>
      <c r="S14" s="44"/>
    </row>
    <row r="15" spans="1:19" ht="20.350000000000001" customHeight="1" x14ac:dyDescent="0.55000000000000004">
      <c r="A15" s="83" t="s">
        <v>320</v>
      </c>
      <c r="B15" s="89">
        <v>50</v>
      </c>
      <c r="C15" s="89">
        <v>50</v>
      </c>
      <c r="D15" s="89">
        <v>50</v>
      </c>
      <c r="E15" s="89">
        <v>350</v>
      </c>
      <c r="F15" s="89">
        <v>50</v>
      </c>
      <c r="G15" s="89">
        <v>50</v>
      </c>
      <c r="H15" s="89">
        <v>66.78</v>
      </c>
      <c r="I15" s="89">
        <v>60</v>
      </c>
      <c r="J15" s="89">
        <v>60</v>
      </c>
      <c r="K15" s="89">
        <v>120</v>
      </c>
      <c r="L15" s="89">
        <v>67</v>
      </c>
      <c r="M15" s="89">
        <v>67</v>
      </c>
      <c r="N15" s="89"/>
      <c r="O15" s="89">
        <f t="shared" si="1"/>
        <v>1040.78</v>
      </c>
      <c r="P15" s="92"/>
      <c r="Q15" s="92"/>
    </row>
    <row r="16" spans="1:19" ht="20.350000000000001" customHeight="1" x14ac:dyDescent="0.55000000000000004">
      <c r="A16" s="83" t="s">
        <v>319</v>
      </c>
      <c r="B16" s="89">
        <v>300</v>
      </c>
      <c r="C16" s="89">
        <v>300</v>
      </c>
      <c r="D16" s="89">
        <v>300</v>
      </c>
      <c r="E16" s="89">
        <v>300</v>
      </c>
      <c r="F16" s="89">
        <v>300</v>
      </c>
      <c r="G16" s="89">
        <v>300</v>
      </c>
      <c r="H16" s="89">
        <v>300</v>
      </c>
      <c r="I16" s="89">
        <v>400</v>
      </c>
      <c r="J16" s="89">
        <v>400</v>
      </c>
      <c r="K16" s="89">
        <v>400</v>
      </c>
      <c r="L16" s="89">
        <v>400</v>
      </c>
      <c r="M16" s="89">
        <v>400</v>
      </c>
      <c r="N16" s="89"/>
      <c r="O16" s="89">
        <f t="shared" si="1"/>
        <v>4100</v>
      </c>
      <c r="P16" s="92"/>
      <c r="Q16" s="92"/>
    </row>
    <row r="17" spans="1:21" ht="19.7" customHeight="1" x14ac:dyDescent="0.55000000000000004">
      <c r="A17" s="83" t="s">
        <v>305</v>
      </c>
      <c r="B17" s="114">
        <v>395</v>
      </c>
      <c r="C17" s="114">
        <v>395</v>
      </c>
      <c r="D17" s="114">
        <v>395</v>
      </c>
      <c r="E17" s="114">
        <v>395</v>
      </c>
      <c r="F17" s="114">
        <v>395</v>
      </c>
      <c r="G17" s="114">
        <f>395+200+395</f>
        <v>990</v>
      </c>
      <c r="H17" s="114">
        <v>3860</v>
      </c>
      <c r="I17" s="114"/>
      <c r="J17" s="114"/>
      <c r="K17" s="114"/>
      <c r="L17" s="114">
        <v>395</v>
      </c>
      <c r="M17" s="114"/>
      <c r="N17" s="114"/>
      <c r="O17" s="114">
        <f t="shared" si="1"/>
        <v>7220</v>
      </c>
      <c r="P17" s="123"/>
      <c r="Q17" s="114"/>
    </row>
    <row r="18" spans="1:21" ht="19.7" customHeight="1" x14ac:dyDescent="0.55000000000000004">
      <c r="A18" s="83" t="s">
        <v>295</v>
      </c>
      <c r="B18" s="89">
        <v>638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92"/>
      <c r="N18" s="92"/>
      <c r="O18" s="89">
        <f t="shared" si="1"/>
        <v>638</v>
      </c>
      <c r="P18" s="89"/>
      <c r="Q18" s="89"/>
    </row>
    <row r="19" spans="1:21" ht="17.350000000000001" x14ac:dyDescent="0.5">
      <c r="A19" s="83" t="s">
        <v>308</v>
      </c>
      <c r="B19" s="89">
        <v>109</v>
      </c>
      <c r="C19" s="89">
        <v>111</v>
      </c>
      <c r="D19" s="89">
        <v>110</v>
      </c>
      <c r="E19" s="89">
        <v>95</v>
      </c>
      <c r="F19" s="89">
        <v>112</v>
      </c>
      <c r="G19" s="89">
        <v>85</v>
      </c>
      <c r="H19" s="89">
        <f>52-9.21</f>
        <v>42.79</v>
      </c>
      <c r="I19" s="89">
        <v>55</v>
      </c>
      <c r="J19" s="89">
        <v>155.35</v>
      </c>
      <c r="K19" s="89">
        <v>125</v>
      </c>
      <c r="L19" s="89">
        <v>122</v>
      </c>
      <c r="M19" s="89">
        <v>90</v>
      </c>
      <c r="N19" s="89"/>
      <c r="O19" s="89">
        <f t="shared" si="1"/>
        <v>1212.1399999999999</v>
      </c>
      <c r="P19" s="89"/>
      <c r="Q19" s="118"/>
    </row>
    <row r="20" spans="1:21" ht="17.7" x14ac:dyDescent="0.55000000000000004">
      <c r="A20" s="83" t="s">
        <v>309</v>
      </c>
      <c r="B20" s="89"/>
      <c r="C20" s="89"/>
      <c r="D20" s="89"/>
      <c r="E20" s="89"/>
      <c r="F20" s="89"/>
      <c r="G20" s="89"/>
      <c r="H20" s="89"/>
      <c r="I20" s="89"/>
      <c r="J20" s="89">
        <v>225.57</v>
      </c>
      <c r="K20" s="89">
        <v>150</v>
      </c>
      <c r="L20" s="89">
        <v>170</v>
      </c>
      <c r="M20" s="89">
        <v>158</v>
      </c>
      <c r="N20" s="89"/>
      <c r="O20" s="89">
        <f t="shared" si="1"/>
        <v>703.56999999999994</v>
      </c>
      <c r="P20" s="92"/>
      <c r="Q20" s="118"/>
    </row>
    <row r="21" spans="1:21" ht="18.350000000000001" customHeight="1" x14ac:dyDescent="0.55000000000000004">
      <c r="A21" s="83" t="s">
        <v>183</v>
      </c>
      <c r="B21" s="114">
        <v>396</v>
      </c>
      <c r="C21" s="114">
        <v>396</v>
      </c>
      <c r="D21" s="114">
        <v>396</v>
      </c>
      <c r="E21" s="114">
        <v>396</v>
      </c>
      <c r="F21" s="114">
        <v>396</v>
      </c>
      <c r="G21" s="114">
        <v>396</v>
      </c>
      <c r="H21" s="114">
        <v>396</v>
      </c>
      <c r="I21" s="114">
        <v>396</v>
      </c>
      <c r="J21" s="114">
        <v>396</v>
      </c>
      <c r="K21" s="114">
        <v>396</v>
      </c>
      <c r="L21" s="114">
        <v>396</v>
      </c>
      <c r="M21" s="114">
        <v>396</v>
      </c>
      <c r="N21" s="114"/>
      <c r="O21" s="114">
        <f t="shared" si="1"/>
        <v>4752</v>
      </c>
      <c r="P21" s="123"/>
      <c r="Q21" s="114"/>
    </row>
    <row r="22" spans="1:21" ht="17.350000000000001" x14ac:dyDescent="0.5">
      <c r="A22" s="83" t="s">
        <v>310</v>
      </c>
      <c r="B22" s="89">
        <v>118.44</v>
      </c>
      <c r="C22" s="89">
        <v>131.12</v>
      </c>
      <c r="D22" s="89">
        <v>124.78</v>
      </c>
      <c r="E22" s="89">
        <v>111</v>
      </c>
      <c r="F22" s="89">
        <v>125.92</v>
      </c>
      <c r="G22" s="89">
        <v>125.92</v>
      </c>
      <c r="H22" s="89">
        <v>0</v>
      </c>
      <c r="I22" s="89">
        <v>63.45</v>
      </c>
      <c r="J22" s="89">
        <v>63.45</v>
      </c>
      <c r="K22" s="89">
        <v>63.45</v>
      </c>
      <c r="L22" s="89">
        <v>63.45</v>
      </c>
      <c r="M22" s="89">
        <v>63.45</v>
      </c>
      <c r="N22" s="89"/>
      <c r="O22" s="89">
        <f t="shared" si="1"/>
        <v>1054.43</v>
      </c>
      <c r="P22" s="89"/>
      <c r="Q22" s="89"/>
    </row>
    <row r="23" spans="1:21" ht="20.7" customHeight="1" x14ac:dyDescent="0.55000000000000004">
      <c r="A23" s="83" t="s">
        <v>296</v>
      </c>
      <c r="B23" s="89">
        <v>34</v>
      </c>
      <c r="C23" s="89">
        <f>68.25/2</f>
        <v>34.125</v>
      </c>
      <c r="D23" s="89">
        <v>34.130000000000003</v>
      </c>
      <c r="E23" s="89">
        <v>31.42</v>
      </c>
      <c r="F23" s="89">
        <v>31.42</v>
      </c>
      <c r="G23" s="89">
        <v>35</v>
      </c>
      <c r="H23" s="89">
        <v>35</v>
      </c>
      <c r="I23" s="89">
        <v>35</v>
      </c>
      <c r="J23" s="89">
        <v>35</v>
      </c>
      <c r="K23" s="89">
        <v>35</v>
      </c>
      <c r="L23" s="89"/>
      <c r="M23" s="89">
        <v>45</v>
      </c>
      <c r="N23" s="89"/>
      <c r="O23" s="89">
        <f t="shared" si="1"/>
        <v>385.09500000000003</v>
      </c>
      <c r="P23" s="92"/>
      <c r="Q23" s="89"/>
    </row>
    <row r="24" spans="1:21" ht="17.350000000000001" x14ac:dyDescent="0.5">
      <c r="A24" s="83" t="s">
        <v>278</v>
      </c>
      <c r="B24" s="89">
        <v>68.08</v>
      </c>
      <c r="C24" s="93">
        <v>70</v>
      </c>
      <c r="D24" s="89">
        <v>60</v>
      </c>
      <c r="E24" s="89">
        <v>59.83</v>
      </c>
      <c r="F24" s="89">
        <v>40.42</v>
      </c>
      <c r="G24" s="89">
        <v>91</v>
      </c>
      <c r="H24" s="89">
        <v>199.89</v>
      </c>
      <c r="I24" s="89">
        <v>214.96</v>
      </c>
      <c r="J24" s="89">
        <v>93.43</v>
      </c>
      <c r="K24" s="89">
        <v>45.64</v>
      </c>
      <c r="L24" s="89">
        <v>50</v>
      </c>
      <c r="M24" s="89">
        <v>83.84</v>
      </c>
      <c r="N24" s="89"/>
      <c r="O24" s="89">
        <f t="shared" si="1"/>
        <v>1077.0900000000001</v>
      </c>
      <c r="P24" s="89"/>
      <c r="Q24" s="89"/>
    </row>
    <row r="25" spans="1:21" ht="17.350000000000001" x14ac:dyDescent="0.5">
      <c r="A25" s="83" t="s">
        <v>227</v>
      </c>
      <c r="B25" s="89">
        <v>182</v>
      </c>
      <c r="C25" s="89">
        <v>182</v>
      </c>
      <c r="D25" s="89"/>
      <c r="E25" s="89"/>
      <c r="F25" s="89">
        <v>0</v>
      </c>
      <c r="G25" s="89"/>
      <c r="H25" s="89">
        <v>200</v>
      </c>
      <c r="I25" s="89">
        <v>150</v>
      </c>
      <c r="J25" s="89">
        <v>200</v>
      </c>
      <c r="K25" s="89">
        <v>200</v>
      </c>
      <c r="L25" s="89">
        <v>200</v>
      </c>
      <c r="M25" s="89">
        <v>200</v>
      </c>
      <c r="N25" s="89"/>
      <c r="O25" s="89">
        <f t="shared" si="1"/>
        <v>1514</v>
      </c>
      <c r="P25" s="89"/>
      <c r="Q25" s="89"/>
    </row>
    <row r="26" spans="1:21" ht="17.7" x14ac:dyDescent="0.55000000000000004">
      <c r="A26" s="83" t="s">
        <v>240</v>
      </c>
      <c r="B26" s="89"/>
      <c r="C26" s="89"/>
      <c r="D26" s="89"/>
      <c r="E26" s="89"/>
      <c r="F26" s="92">
        <v>0</v>
      </c>
      <c r="G26" s="89"/>
      <c r="H26" s="89">
        <v>50</v>
      </c>
      <c r="I26" s="89">
        <v>50</v>
      </c>
      <c r="J26" s="89">
        <v>50</v>
      </c>
      <c r="K26" s="89">
        <v>50</v>
      </c>
      <c r="L26" s="89">
        <v>28</v>
      </c>
      <c r="M26" s="89"/>
      <c r="N26" s="89"/>
      <c r="O26" s="89">
        <f t="shared" si="1"/>
        <v>228</v>
      </c>
      <c r="P26" s="89"/>
      <c r="Q26" s="89"/>
    </row>
    <row r="27" spans="1:21" ht="17.7" x14ac:dyDescent="0.55000000000000004">
      <c r="A27" s="83" t="s">
        <v>265</v>
      </c>
      <c r="B27" s="89"/>
      <c r="C27" s="89">
        <v>1069</v>
      </c>
      <c r="D27" s="89"/>
      <c r="E27" s="89"/>
      <c r="F27" s="92"/>
      <c r="G27" s="89"/>
      <c r="H27" s="89"/>
      <c r="I27" s="89"/>
      <c r="J27" s="89"/>
      <c r="K27" s="92"/>
      <c r="L27" s="89"/>
      <c r="M27" s="89"/>
      <c r="N27" s="89"/>
      <c r="O27" s="89">
        <f t="shared" si="1"/>
        <v>1069</v>
      </c>
      <c r="P27" s="89"/>
      <c r="Q27" s="92"/>
    </row>
    <row r="28" spans="1:21" ht="17.7" x14ac:dyDescent="0.55000000000000004">
      <c r="A28" s="83" t="s">
        <v>275</v>
      </c>
      <c r="B28" s="89">
        <v>170.33</v>
      </c>
      <c r="C28" s="89">
        <v>169.55</v>
      </c>
      <c r="D28" s="89">
        <v>169.55</v>
      </c>
      <c r="E28" s="89">
        <v>168.58</v>
      </c>
      <c r="F28" s="89">
        <v>169.27</v>
      </c>
      <c r="G28" s="89">
        <v>169.27</v>
      </c>
      <c r="H28" s="89">
        <v>267.52999999999997</v>
      </c>
      <c r="I28" s="89">
        <v>228.03</v>
      </c>
      <c r="J28" s="89">
        <v>207.44</v>
      </c>
      <c r="K28" s="89">
        <v>218.24</v>
      </c>
      <c r="L28" s="89">
        <v>219</v>
      </c>
      <c r="M28" s="89">
        <v>220</v>
      </c>
      <c r="N28" s="89"/>
      <c r="O28" s="89">
        <f t="shared" si="1"/>
        <v>2376.79</v>
      </c>
      <c r="P28" s="92"/>
      <c r="Q28" s="92"/>
      <c r="R28" s="74"/>
      <c r="U28" s="74"/>
    </row>
    <row r="29" spans="1:21" ht="17.350000000000001" x14ac:dyDescent="0.5">
      <c r="A29" s="83" t="s">
        <v>236</v>
      </c>
      <c r="B29" s="89">
        <v>66.72</v>
      </c>
      <c r="C29" s="89">
        <v>66.790000000000006</v>
      </c>
      <c r="D29" s="89">
        <v>65.430000000000007</v>
      </c>
      <c r="E29" s="89">
        <v>66.08</v>
      </c>
      <c r="F29" s="89">
        <v>66.08</v>
      </c>
      <c r="G29" s="89">
        <v>66.08</v>
      </c>
      <c r="H29" s="89">
        <v>67.95</v>
      </c>
      <c r="I29" s="89">
        <v>75.040000000000006</v>
      </c>
      <c r="J29" s="89">
        <v>72.98</v>
      </c>
      <c r="K29" s="89">
        <v>73.86</v>
      </c>
      <c r="L29" s="89">
        <v>73.86</v>
      </c>
      <c r="M29" s="89">
        <v>73.599999999999994</v>
      </c>
      <c r="N29" s="89"/>
      <c r="O29" s="89">
        <f t="shared" si="1"/>
        <v>834.47</v>
      </c>
      <c r="P29" s="89"/>
      <c r="Q29" s="89"/>
      <c r="R29" s="74"/>
    </row>
    <row r="30" spans="1:21" ht="17.350000000000001" x14ac:dyDescent="0.5">
      <c r="A30" s="83" t="s">
        <v>178</v>
      </c>
      <c r="B30" s="89">
        <f>334.75</f>
        <v>334.75</v>
      </c>
      <c r="C30" s="89">
        <v>156</v>
      </c>
      <c r="D30" s="89"/>
      <c r="E30" s="89"/>
      <c r="F30" s="89">
        <v>0</v>
      </c>
      <c r="G30" s="89"/>
      <c r="H30" s="89">
        <v>72.650000000000006</v>
      </c>
      <c r="I30" s="89"/>
      <c r="J30" s="89"/>
      <c r="K30" s="89"/>
      <c r="L30" s="89"/>
      <c r="M30" s="89"/>
      <c r="N30" s="89"/>
      <c r="O30" s="89">
        <f t="shared" si="1"/>
        <v>563.4</v>
      </c>
      <c r="P30" s="89"/>
      <c r="Q30" s="89"/>
    </row>
    <row r="31" spans="1:21" ht="17.7" x14ac:dyDescent="0.55000000000000004">
      <c r="A31" s="83" t="s">
        <v>29</v>
      </c>
      <c r="B31" s="91">
        <v>436</v>
      </c>
      <c r="C31" s="91">
        <v>590</v>
      </c>
      <c r="D31" s="91">
        <v>590</v>
      </c>
      <c r="E31" s="91">
        <v>590</v>
      </c>
      <c r="F31" s="91">
        <v>590</v>
      </c>
      <c r="G31" s="91">
        <v>590</v>
      </c>
      <c r="H31" s="91">
        <v>590</v>
      </c>
      <c r="I31" s="91">
        <v>590</v>
      </c>
      <c r="J31" s="91">
        <v>590</v>
      </c>
      <c r="K31" s="91">
        <v>590</v>
      </c>
      <c r="L31" s="91">
        <v>590</v>
      </c>
      <c r="M31" s="91">
        <v>590</v>
      </c>
      <c r="N31" s="91"/>
      <c r="O31" s="91">
        <f t="shared" si="1"/>
        <v>6926</v>
      </c>
      <c r="P31" s="92"/>
      <c r="Q31" s="91"/>
    </row>
    <row r="32" spans="1:21" s="104" customFormat="1" ht="17.7" x14ac:dyDescent="0.55000000000000004">
      <c r="A32" s="92"/>
      <c r="B32" s="89">
        <f t="shared" ref="B32:J32" si="2">SUM(B10:B31)</f>
        <v>4601.3799999999992</v>
      </c>
      <c r="C32" s="89">
        <f t="shared" si="2"/>
        <v>4345.585</v>
      </c>
      <c r="D32" s="89">
        <f t="shared" si="2"/>
        <v>2919.89</v>
      </c>
      <c r="E32" s="89">
        <f t="shared" si="2"/>
        <v>5265.9699999999993</v>
      </c>
      <c r="F32" s="89">
        <f t="shared" si="2"/>
        <v>3026.11</v>
      </c>
      <c r="G32" s="89">
        <f t="shared" si="2"/>
        <v>3648.27</v>
      </c>
      <c r="H32" s="89">
        <f t="shared" si="2"/>
        <v>6898.5899999999992</v>
      </c>
      <c r="I32" s="89">
        <f t="shared" si="2"/>
        <v>3042.48</v>
      </c>
      <c r="J32" s="89">
        <f t="shared" si="2"/>
        <v>3274.22</v>
      </c>
      <c r="K32" s="89">
        <f>SUM(K10:K31)</f>
        <v>3230.5800000000004</v>
      </c>
      <c r="L32" s="89">
        <f>SUM(L10:L31)</f>
        <v>3524.31</v>
      </c>
      <c r="M32" s="89">
        <f>SUM(M10:M31)</f>
        <v>3561.89</v>
      </c>
      <c r="N32" s="89"/>
      <c r="O32" s="89">
        <f>SUM(O10:O31)</f>
        <v>47339.275000000009</v>
      </c>
      <c r="P32" s="89"/>
      <c r="Q32" s="89">
        <f>SUM(Q10:Q31)</f>
        <v>0</v>
      </c>
      <c r="R32" s="104">
        <f>Q7-Q32</f>
        <v>0</v>
      </c>
    </row>
    <row r="33" spans="1:19" ht="17.7" x14ac:dyDescent="0.55000000000000004">
      <c r="A33" s="83" t="s">
        <v>129</v>
      </c>
      <c r="B33" s="89"/>
      <c r="C33" s="89"/>
      <c r="D33" s="89"/>
      <c r="E33" s="89"/>
      <c r="F33" s="89"/>
      <c r="G33" s="92"/>
      <c r="H33" s="92"/>
      <c r="I33" s="92"/>
      <c r="J33" s="92"/>
      <c r="K33" s="92"/>
      <c r="L33" s="92"/>
      <c r="M33" s="92"/>
      <c r="N33" s="92"/>
      <c r="O33" s="89"/>
      <c r="P33" s="83"/>
      <c r="Q33" s="82"/>
    </row>
    <row r="34" spans="1:19" ht="17.350000000000001" x14ac:dyDescent="0.5">
      <c r="A34" s="83" t="s">
        <v>87</v>
      </c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89">
        <f>SUM(B34:M34)</f>
        <v>0</v>
      </c>
      <c r="P34" s="89"/>
      <c r="Q34" s="93"/>
    </row>
    <row r="35" spans="1:19" ht="17.350000000000001" x14ac:dyDescent="0.5">
      <c r="A35" s="83" t="s">
        <v>33</v>
      </c>
      <c r="B35" s="93">
        <v>200</v>
      </c>
      <c r="C35" s="93">
        <v>200</v>
      </c>
      <c r="D35" s="93">
        <v>300</v>
      </c>
      <c r="E35" s="93">
        <v>300</v>
      </c>
      <c r="F35" s="93">
        <v>300</v>
      </c>
      <c r="G35" s="93">
        <v>300</v>
      </c>
      <c r="H35" s="93">
        <v>300</v>
      </c>
      <c r="I35" s="93">
        <v>100</v>
      </c>
      <c r="J35" s="93">
        <v>0</v>
      </c>
      <c r="K35" s="93">
        <v>250</v>
      </c>
      <c r="L35" s="93">
        <v>250</v>
      </c>
      <c r="M35" s="93">
        <v>250</v>
      </c>
      <c r="N35" s="93"/>
      <c r="O35" s="89">
        <f>SUM(B35:M35)</f>
        <v>2750</v>
      </c>
      <c r="P35" s="89"/>
      <c r="Q35" s="95"/>
      <c r="S35" s="74"/>
    </row>
    <row r="36" spans="1:19" ht="17.350000000000001" x14ac:dyDescent="0.5">
      <c r="A36" s="83" t="s">
        <v>34</v>
      </c>
      <c r="B36" s="96">
        <v>120</v>
      </c>
      <c r="C36" s="96">
        <v>120</v>
      </c>
      <c r="D36" s="96">
        <v>120</v>
      </c>
      <c r="E36" s="96">
        <v>120</v>
      </c>
      <c r="F36" s="91">
        <v>120</v>
      </c>
      <c r="G36" s="91">
        <v>120</v>
      </c>
      <c r="H36" s="91">
        <v>75</v>
      </c>
      <c r="I36" s="91">
        <v>120</v>
      </c>
      <c r="J36" s="91">
        <v>0</v>
      </c>
      <c r="K36" s="91">
        <v>120</v>
      </c>
      <c r="L36" s="91">
        <v>120</v>
      </c>
      <c r="M36" s="91">
        <v>120</v>
      </c>
      <c r="N36" s="91"/>
      <c r="O36" s="91">
        <f>SUM(B36:M36)</f>
        <v>1275</v>
      </c>
      <c r="P36" s="89"/>
      <c r="Q36" s="90"/>
    </row>
    <row r="37" spans="1:19" s="115" customFormat="1" ht="17.350000000000001" x14ac:dyDescent="0.5">
      <c r="A37" s="94"/>
      <c r="B37" s="89">
        <f>SUM(B34:B36)</f>
        <v>320</v>
      </c>
      <c r="C37" s="89">
        <f t="shared" ref="C37:M37" si="3">SUM(C34:C36)</f>
        <v>320</v>
      </c>
      <c r="D37" s="89">
        <f t="shared" si="3"/>
        <v>420</v>
      </c>
      <c r="E37" s="89">
        <f t="shared" si="3"/>
        <v>420</v>
      </c>
      <c r="F37" s="89">
        <f t="shared" si="3"/>
        <v>420</v>
      </c>
      <c r="G37" s="89">
        <f t="shared" si="3"/>
        <v>420</v>
      </c>
      <c r="H37" s="89">
        <f t="shared" si="3"/>
        <v>375</v>
      </c>
      <c r="I37" s="89">
        <f t="shared" si="3"/>
        <v>220</v>
      </c>
      <c r="J37" s="89">
        <f t="shared" si="3"/>
        <v>0</v>
      </c>
      <c r="K37" s="89">
        <f t="shared" si="3"/>
        <v>370</v>
      </c>
      <c r="L37" s="89">
        <f t="shared" si="3"/>
        <v>370</v>
      </c>
      <c r="M37" s="89">
        <f t="shared" si="3"/>
        <v>370</v>
      </c>
      <c r="N37" s="89"/>
      <c r="O37" s="89">
        <f>O32+SUM(O34:O36)</f>
        <v>51364.275000000009</v>
      </c>
      <c r="P37" s="94"/>
      <c r="Q37" s="94">
        <f>SUM(Q34:Q36)</f>
        <v>0</v>
      </c>
    </row>
    <row r="38" spans="1:19" ht="17.350000000000001" x14ac:dyDescent="0.5">
      <c r="A38" s="83" t="s">
        <v>130</v>
      </c>
      <c r="B38" s="89">
        <f>B32+B37</f>
        <v>4921.3799999999992</v>
      </c>
      <c r="C38" s="89">
        <f t="shared" ref="C38:M38" si="4">C32+C37</f>
        <v>4665.585</v>
      </c>
      <c r="D38" s="89">
        <f t="shared" si="4"/>
        <v>3339.89</v>
      </c>
      <c r="E38" s="89">
        <f t="shared" si="4"/>
        <v>5685.9699999999993</v>
      </c>
      <c r="F38" s="89">
        <f t="shared" si="4"/>
        <v>3446.11</v>
      </c>
      <c r="G38" s="89">
        <f t="shared" si="4"/>
        <v>4068.27</v>
      </c>
      <c r="H38" s="89">
        <f t="shared" si="4"/>
        <v>7273.5899999999992</v>
      </c>
      <c r="I38" s="89">
        <f t="shared" si="4"/>
        <v>3262.48</v>
      </c>
      <c r="J38" s="89">
        <f t="shared" si="4"/>
        <v>3274.22</v>
      </c>
      <c r="K38" s="89">
        <f t="shared" si="4"/>
        <v>3600.5800000000004</v>
      </c>
      <c r="L38" s="89">
        <f t="shared" si="4"/>
        <v>3894.31</v>
      </c>
      <c r="M38" s="89">
        <f t="shared" si="4"/>
        <v>3931.89</v>
      </c>
      <c r="N38" s="89"/>
      <c r="O38" s="89">
        <f>SUM(B38:M38)</f>
        <v>51364.275000000001</v>
      </c>
      <c r="P38" s="89"/>
      <c r="Q38" s="88"/>
      <c r="S38" s="74"/>
    </row>
    <row r="39" spans="1:19" ht="17.7" x14ac:dyDescent="0.55000000000000004">
      <c r="A39" s="82"/>
      <c r="B39" s="89">
        <f t="shared" ref="B39:J39" si="5">B7-B38</f>
        <v>180.92000000000098</v>
      </c>
      <c r="C39" s="89">
        <f t="shared" si="5"/>
        <v>45.715000000000146</v>
      </c>
      <c r="D39" s="89">
        <f t="shared" si="5"/>
        <v>146.41000000000031</v>
      </c>
      <c r="E39" s="89">
        <f t="shared" si="5"/>
        <v>178.33000000000084</v>
      </c>
      <c r="F39" s="89">
        <f t="shared" si="5"/>
        <v>540.19000000000005</v>
      </c>
      <c r="G39" s="89">
        <f t="shared" si="5"/>
        <v>13.0300000000002</v>
      </c>
      <c r="H39" s="89">
        <f t="shared" si="5"/>
        <v>-222.28999999999905</v>
      </c>
      <c r="I39" s="89">
        <f t="shared" si="5"/>
        <v>-71.179999999999836</v>
      </c>
      <c r="J39" s="89">
        <f t="shared" si="5"/>
        <v>33.080000000000382</v>
      </c>
      <c r="K39" s="89">
        <f>K7-K38</f>
        <v>-293.2800000000002</v>
      </c>
      <c r="L39" s="89">
        <f>L7-L38</f>
        <v>-587.00999999999976</v>
      </c>
      <c r="M39" s="89">
        <f>M7-M38</f>
        <v>-1124.5899999999997</v>
      </c>
      <c r="N39" s="89"/>
      <c r="O39" s="89">
        <f>SUM(B39:M39)</f>
        <v>-1160.6749999999956</v>
      </c>
      <c r="P39" s="89"/>
      <c r="Q39" s="99"/>
      <c r="S39" s="74"/>
    </row>
    <row r="40" spans="1:19" ht="17.7" x14ac:dyDescent="0.55000000000000004">
      <c r="A40" s="82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9"/>
      <c r="S40" s="74"/>
    </row>
    <row r="41" spans="1:19" ht="17.7" x14ac:dyDescent="0.55000000000000004">
      <c r="A41" s="82"/>
      <c r="B41" s="8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89"/>
      <c r="P41" s="89"/>
      <c r="Q41" s="99"/>
      <c r="S41" s="74"/>
    </row>
    <row r="42" spans="1:19" ht="17.7" x14ac:dyDescent="0.55000000000000004">
      <c r="A42" s="83"/>
      <c r="B42" s="83"/>
      <c r="C42" s="83"/>
      <c r="D42" s="83"/>
      <c r="E42" s="83"/>
      <c r="F42" s="83"/>
      <c r="G42" s="83"/>
      <c r="H42" s="82"/>
      <c r="I42" s="82"/>
      <c r="J42" s="83"/>
      <c r="K42" s="83"/>
      <c r="L42" s="83"/>
      <c r="M42" s="83"/>
      <c r="N42" s="83"/>
      <c r="O42" s="83"/>
      <c r="P42" s="83"/>
      <c r="Q42" s="88"/>
    </row>
    <row r="43" spans="1:19" ht="17.7" x14ac:dyDescent="0.55000000000000004">
      <c r="A43" s="83" t="s">
        <v>294</v>
      </c>
      <c r="B43" s="83"/>
      <c r="C43" s="99"/>
      <c r="D43" s="98"/>
      <c r="E43" s="83"/>
      <c r="F43" s="83"/>
      <c r="G43" s="98"/>
      <c r="H43" s="83"/>
      <c r="I43" s="83"/>
      <c r="J43" s="100"/>
      <c r="K43" s="82"/>
      <c r="L43" s="83"/>
      <c r="M43" s="83"/>
      <c r="N43" s="83"/>
      <c r="O43" s="83"/>
      <c r="P43" s="83"/>
      <c r="Q43" s="83"/>
    </row>
    <row r="44" spans="1:19" ht="17.350000000000001" x14ac:dyDescent="0.5">
      <c r="A44" s="83" t="s">
        <v>298</v>
      </c>
      <c r="B44" s="83"/>
      <c r="C44" s="83"/>
      <c r="D44" s="83"/>
      <c r="E44" s="83"/>
      <c r="F44" s="83"/>
      <c r="G44" s="83"/>
      <c r="H44" s="83"/>
      <c r="I44" s="83"/>
      <c r="J44" s="99"/>
      <c r="K44" s="83"/>
      <c r="L44" s="83"/>
      <c r="M44" s="83"/>
      <c r="N44" s="83"/>
      <c r="O44" s="83"/>
      <c r="P44" s="83"/>
      <c r="Q44" s="83"/>
      <c r="R44" s="79"/>
    </row>
    <row r="45" spans="1:19" ht="17.7" x14ac:dyDescent="0.55000000000000004">
      <c r="A45" s="83" t="s">
        <v>272</v>
      </c>
      <c r="B45" s="83"/>
      <c r="C45" s="83"/>
      <c r="D45" s="83"/>
      <c r="E45" s="83"/>
      <c r="F45" s="83"/>
      <c r="G45" s="99"/>
      <c r="H45" s="99"/>
      <c r="I45" s="99"/>
      <c r="J45" s="83"/>
      <c r="K45" s="83"/>
      <c r="L45" s="83"/>
      <c r="M45" s="83"/>
      <c r="N45" s="83"/>
      <c r="O45" s="83"/>
      <c r="P45" s="83"/>
      <c r="Q45" s="82"/>
      <c r="R45" s="79"/>
    </row>
    <row r="46" spans="1:19" ht="17.7" x14ac:dyDescent="0.55000000000000004">
      <c r="A46" s="83" t="s">
        <v>273</v>
      </c>
      <c r="B46" s="83"/>
      <c r="C46" s="83"/>
      <c r="D46" s="83"/>
      <c r="E46" s="83"/>
      <c r="F46" s="83"/>
      <c r="G46" s="83"/>
      <c r="H46" s="83"/>
      <c r="I46" s="82"/>
      <c r="J46" s="83"/>
      <c r="K46" s="83"/>
      <c r="L46" s="83"/>
      <c r="M46" s="83"/>
      <c r="N46" s="83"/>
      <c r="O46" s="83"/>
      <c r="P46" s="83"/>
      <c r="Q46" s="83"/>
      <c r="R46" s="79"/>
    </row>
    <row r="47" spans="1:19" ht="17.7" x14ac:dyDescent="0.55000000000000004">
      <c r="A47" s="83" t="s">
        <v>234</v>
      </c>
      <c r="B47" s="83"/>
      <c r="C47" s="83"/>
      <c r="D47" s="83"/>
      <c r="E47" s="83"/>
      <c r="F47" s="83"/>
      <c r="G47" s="83"/>
      <c r="H47" s="83"/>
      <c r="I47" s="82"/>
      <c r="J47" s="83"/>
      <c r="K47" s="83"/>
      <c r="L47" s="83"/>
      <c r="M47" s="83"/>
      <c r="N47" s="83"/>
      <c r="O47" s="83"/>
      <c r="P47" s="83"/>
      <c r="Q47" s="83"/>
      <c r="R47" s="79"/>
    </row>
    <row r="48" spans="1:19" ht="17.7" x14ac:dyDescent="0.55000000000000004">
      <c r="A48" s="83"/>
      <c r="B48" s="83"/>
      <c r="C48" s="83"/>
      <c r="D48" s="83"/>
      <c r="E48" s="83"/>
      <c r="F48" s="83"/>
      <c r="G48" s="83"/>
      <c r="H48" s="83"/>
      <c r="I48" s="82"/>
      <c r="J48" s="83"/>
      <c r="K48" s="83"/>
      <c r="L48" s="83"/>
      <c r="M48" s="83"/>
      <c r="N48" s="83"/>
      <c r="O48" s="83"/>
      <c r="P48" s="83"/>
      <c r="Q48" s="83"/>
      <c r="R48" s="79"/>
    </row>
    <row r="49" spans="1:18" ht="17.7" x14ac:dyDescent="0.55000000000000004">
      <c r="A49" s="83"/>
      <c r="B49" s="83"/>
      <c r="C49" s="83"/>
      <c r="D49" s="83"/>
      <c r="E49" s="83"/>
      <c r="F49" s="83"/>
      <c r="G49" s="83"/>
      <c r="H49" s="83"/>
      <c r="I49" s="82"/>
      <c r="J49" s="83"/>
      <c r="K49" s="83"/>
      <c r="L49" s="83"/>
      <c r="M49" s="83"/>
      <c r="N49" s="83"/>
      <c r="O49" s="83"/>
      <c r="P49" s="83"/>
      <c r="Q49" s="83"/>
      <c r="R49" s="79"/>
    </row>
    <row r="50" spans="1:18" ht="17.7" x14ac:dyDescent="0.55000000000000004">
      <c r="A50" s="83"/>
      <c r="B50" s="83"/>
      <c r="C50" s="83"/>
      <c r="D50" s="83"/>
      <c r="E50" s="83"/>
      <c r="F50" s="83"/>
      <c r="G50" s="83"/>
      <c r="H50" s="83"/>
      <c r="I50" s="82"/>
      <c r="J50" s="83"/>
      <c r="K50" s="83"/>
      <c r="L50" s="83"/>
      <c r="M50" s="83"/>
      <c r="N50" s="83"/>
      <c r="O50" s="83"/>
      <c r="P50" s="83"/>
      <c r="Q50" s="83"/>
      <c r="R50" s="79"/>
    </row>
    <row r="51" spans="1:18" ht="17.7" x14ac:dyDescent="0.55000000000000004">
      <c r="A51" s="83"/>
      <c r="B51" s="83"/>
      <c r="C51" s="83"/>
      <c r="D51" s="83"/>
      <c r="E51" s="83"/>
      <c r="F51" s="83"/>
      <c r="G51" s="83"/>
      <c r="H51" s="83"/>
      <c r="I51" s="82"/>
      <c r="J51" s="83"/>
      <c r="K51" s="83"/>
      <c r="L51" s="83"/>
      <c r="M51" s="83"/>
      <c r="N51" s="83"/>
      <c r="O51" s="83"/>
      <c r="P51" s="83"/>
      <c r="Q51" s="83"/>
      <c r="R51" s="79"/>
    </row>
    <row r="52" spans="1:18" ht="17.7" x14ac:dyDescent="0.55000000000000004">
      <c r="A52" s="83"/>
      <c r="B52" s="83"/>
      <c r="C52" s="83"/>
      <c r="D52" s="83"/>
      <c r="E52" s="83"/>
      <c r="F52" s="83"/>
      <c r="G52" s="83"/>
      <c r="H52" s="83"/>
      <c r="I52" s="82"/>
      <c r="J52" s="83"/>
      <c r="K52" s="83"/>
      <c r="L52" s="83"/>
      <c r="M52" s="83"/>
      <c r="N52" s="83"/>
      <c r="O52" s="83"/>
      <c r="P52" s="83"/>
      <c r="Q52" s="83"/>
      <c r="R52" s="79"/>
    </row>
    <row r="53" spans="1:18" ht="17.350000000000001" x14ac:dyDescent="0.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8" ht="17.7" x14ac:dyDescent="0.55000000000000004">
      <c r="A54" s="82" t="s">
        <v>293</v>
      </c>
      <c r="B54" s="101">
        <v>9500</v>
      </c>
      <c r="C54" s="99"/>
      <c r="D54" s="99"/>
      <c r="E54" s="99"/>
      <c r="F54" s="99"/>
      <c r="G54" s="99"/>
      <c r="H54" s="99"/>
      <c r="I54" s="99"/>
      <c r="J54" s="89"/>
      <c r="K54" s="83"/>
      <c r="L54" s="83"/>
      <c r="M54" s="83"/>
      <c r="N54" s="83"/>
      <c r="O54" s="83"/>
      <c r="P54" s="83"/>
      <c r="Q54" s="83"/>
    </row>
    <row r="55" spans="1:18" ht="17.350000000000001" x14ac:dyDescent="0.5">
      <c r="A55" s="83" t="s">
        <v>104</v>
      </c>
      <c r="B55" s="89">
        <f>-1425</f>
        <v>-1425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  <row r="56" spans="1:18" ht="17.350000000000001" x14ac:dyDescent="0.5">
      <c r="A56" s="83" t="s">
        <v>268</v>
      </c>
      <c r="B56" s="102">
        <v>-475</v>
      </c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18" ht="17.350000000000001" x14ac:dyDescent="0.5">
      <c r="A57" s="83" t="s">
        <v>297</v>
      </c>
      <c r="B57" s="101">
        <f>SUM(B54:B56)</f>
        <v>7600</v>
      </c>
      <c r="C57" s="99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</row>
    <row r="58" spans="1:18" ht="17.350000000000001" x14ac:dyDescent="0.5">
      <c r="A58" s="106"/>
      <c r="B58" s="83"/>
      <c r="C58" s="83"/>
      <c r="D58" s="98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1:18" ht="17.7" x14ac:dyDescent="0.55000000000000004">
      <c r="A59" s="82" t="s">
        <v>306</v>
      </c>
      <c r="B59" s="101">
        <v>9000</v>
      </c>
      <c r="C59" s="83"/>
      <c r="D59" s="98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8" ht="17.350000000000001" x14ac:dyDescent="0.5">
      <c r="A60" s="83" t="s">
        <v>104</v>
      </c>
      <c r="B60" s="89">
        <v>-1350</v>
      </c>
      <c r="C60" s="83"/>
      <c r="D60" s="98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1:18" ht="17.350000000000001" x14ac:dyDescent="0.5">
      <c r="A61" s="83" t="s">
        <v>268</v>
      </c>
      <c r="B61" s="102">
        <v>-450</v>
      </c>
      <c r="C61" s="83"/>
      <c r="D61" s="98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</row>
    <row r="62" spans="1:18" ht="17.350000000000001" x14ac:dyDescent="0.5">
      <c r="A62" s="83" t="s">
        <v>232</v>
      </c>
      <c r="B62" s="101">
        <f>SUM(B59:B61)</f>
        <v>7200</v>
      </c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</row>
    <row r="63" spans="1:18" ht="17.7" x14ac:dyDescent="0.55000000000000004">
      <c r="A63" s="83" t="s">
        <v>307</v>
      </c>
      <c r="B63" s="89"/>
      <c r="C63" s="83"/>
      <c r="D63" s="83"/>
      <c r="E63" s="83"/>
      <c r="F63" s="83"/>
      <c r="G63" s="82"/>
      <c r="H63" s="83"/>
      <c r="I63" s="83"/>
      <c r="J63" s="83"/>
      <c r="K63" s="83"/>
      <c r="L63" s="83"/>
      <c r="M63" s="83"/>
      <c r="N63" s="83"/>
      <c r="O63" s="83"/>
      <c r="P63" s="83"/>
      <c r="Q63" s="83"/>
    </row>
    <row r="64" spans="1:18" ht="17.350000000000001" x14ac:dyDescent="0.5">
      <c r="A64" s="128"/>
      <c r="B64" s="91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</row>
    <row r="65" spans="1:17" ht="17.7" x14ac:dyDescent="0.55000000000000004">
      <c r="A65" s="82" t="s">
        <v>311</v>
      </c>
      <c r="B65" s="101">
        <v>20000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</row>
    <row r="66" spans="1:17" ht="17.350000000000001" x14ac:dyDescent="0.5">
      <c r="A66" s="83" t="s">
        <v>104</v>
      </c>
      <c r="B66" s="89">
        <v>-3000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</row>
    <row r="67" spans="1:17" ht="17.350000000000001" x14ac:dyDescent="0.5">
      <c r="A67" s="83" t="s">
        <v>268</v>
      </c>
      <c r="B67" s="102">
        <v>-1000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</row>
    <row r="68" spans="1:17" ht="17.350000000000001" x14ac:dyDescent="0.5">
      <c r="A68" s="83" t="s">
        <v>232</v>
      </c>
      <c r="B68" s="101">
        <f>SUM(B65:B67)</f>
        <v>16000</v>
      </c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1:17" ht="17.350000000000001" x14ac:dyDescent="0.5">
      <c r="A69" s="83" t="s">
        <v>312</v>
      </c>
      <c r="B69" s="101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</row>
    <row r="70" spans="1:17" ht="17.350000000000001" x14ac:dyDescent="0.5">
      <c r="A70" s="83" t="s">
        <v>313</v>
      </c>
      <c r="B70" s="101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spans="1:17" ht="17.350000000000001" x14ac:dyDescent="0.5">
      <c r="A71" s="83" t="s">
        <v>314</v>
      </c>
      <c r="B71" s="101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2" spans="1:17" ht="17.350000000000001" x14ac:dyDescent="0.5">
      <c r="A72" s="83"/>
      <c r="B72" s="101"/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</row>
    <row r="73" spans="1:17" ht="17.350000000000001" x14ac:dyDescent="0.5">
      <c r="A73" s="83"/>
      <c r="B73" s="101"/>
      <c r="C73" s="83"/>
      <c r="D73" s="83"/>
      <c r="E73" s="83"/>
      <c r="F73" s="83"/>
      <c r="G73" s="83"/>
      <c r="H73" s="83"/>
      <c r="I73" s="83"/>
      <c r="J73" s="83"/>
      <c r="K73" s="83"/>
      <c r="L73" s="83"/>
      <c r="M73" s="83"/>
      <c r="N73" s="83"/>
      <c r="O73" s="83"/>
      <c r="P73" s="83"/>
      <c r="Q73" s="83"/>
    </row>
    <row r="74" spans="1:17" ht="17.350000000000001" x14ac:dyDescent="0.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</row>
    <row r="75" spans="1:17" ht="17.350000000000001" x14ac:dyDescent="0.5">
      <c r="A75" s="105"/>
      <c r="B75" s="125">
        <v>44770</v>
      </c>
      <c r="C75" s="83"/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</row>
    <row r="76" spans="1:17" ht="17.350000000000001" x14ac:dyDescent="0.5">
      <c r="A76" s="105" t="s">
        <v>302</v>
      </c>
      <c r="B76" s="88">
        <v>5630</v>
      </c>
      <c r="C76" s="88"/>
      <c r="D76" s="88"/>
      <c r="E76" s="88">
        <v>750</v>
      </c>
      <c r="F76" s="88"/>
      <c r="G76" s="88">
        <v>200</v>
      </c>
      <c r="H76" s="88">
        <v>200</v>
      </c>
      <c r="I76" s="88">
        <v>200</v>
      </c>
      <c r="J76" s="88">
        <v>200</v>
      </c>
      <c r="K76" s="88">
        <v>200</v>
      </c>
      <c r="L76" s="88">
        <v>200</v>
      </c>
      <c r="M76" s="88">
        <v>200</v>
      </c>
      <c r="N76" s="88"/>
      <c r="O76" s="89">
        <f>B76-SUM(E76:M76)</f>
        <v>3480</v>
      </c>
      <c r="P76" s="83"/>
      <c r="Q76" s="83"/>
    </row>
    <row r="77" spans="1:17" ht="17.350000000000001" x14ac:dyDescent="0.5">
      <c r="A77" s="83" t="s">
        <v>303</v>
      </c>
      <c r="B77" s="88">
        <v>2512</v>
      </c>
      <c r="C77" s="98"/>
      <c r="D77" s="98"/>
      <c r="E77" s="89">
        <v>300</v>
      </c>
      <c r="F77" s="89"/>
      <c r="G77" s="89">
        <v>300</v>
      </c>
      <c r="H77" s="89">
        <v>300</v>
      </c>
      <c r="I77" s="89">
        <v>300</v>
      </c>
      <c r="J77" s="89">
        <v>300</v>
      </c>
      <c r="K77" s="89">
        <v>300</v>
      </c>
      <c r="L77" s="89">
        <v>300</v>
      </c>
      <c r="M77" s="89">
        <v>300</v>
      </c>
      <c r="N77" s="89"/>
      <c r="O77" s="89">
        <f>B77-SUM(E77:M77)</f>
        <v>112</v>
      </c>
      <c r="P77" s="83"/>
      <c r="Q77" s="83"/>
    </row>
    <row r="78" spans="1:17" ht="17.350000000000001" x14ac:dyDescent="0.5">
      <c r="A78" s="83" t="s">
        <v>304</v>
      </c>
      <c r="B78" s="90">
        <v>14414</v>
      </c>
      <c r="C78" s="98"/>
      <c r="D78" s="98"/>
      <c r="E78" s="89">
        <v>1200</v>
      </c>
      <c r="F78" s="89"/>
      <c r="G78" s="89">
        <v>400</v>
      </c>
      <c r="H78" s="89">
        <v>400</v>
      </c>
      <c r="I78" s="89">
        <v>400</v>
      </c>
      <c r="J78" s="89">
        <v>400</v>
      </c>
      <c r="K78" s="89">
        <v>400</v>
      </c>
      <c r="L78" s="89">
        <v>400</v>
      </c>
      <c r="M78" s="89">
        <v>400</v>
      </c>
      <c r="N78" s="89"/>
      <c r="O78" s="89">
        <f>B78-SUM(E78:M78)</f>
        <v>10414</v>
      </c>
      <c r="P78" s="83"/>
      <c r="Q78" s="83"/>
    </row>
    <row r="79" spans="1:17" ht="17.350000000000001" x14ac:dyDescent="0.5">
      <c r="A79" s="83" t="s">
        <v>44</v>
      </c>
      <c r="B79" s="89">
        <f>SUM(B76:B78)</f>
        <v>22556</v>
      </c>
      <c r="C79" s="88"/>
      <c r="D79" s="98"/>
      <c r="E79" s="89">
        <f t="shared" ref="E79:M79" si="6">SUM(E76:E78)</f>
        <v>2250</v>
      </c>
      <c r="F79" s="89"/>
      <c r="G79" s="89">
        <f t="shared" si="6"/>
        <v>900</v>
      </c>
      <c r="H79" s="89">
        <f t="shared" si="6"/>
        <v>900</v>
      </c>
      <c r="I79" s="89">
        <f t="shared" si="6"/>
        <v>900</v>
      </c>
      <c r="J79" s="89">
        <f t="shared" si="6"/>
        <v>900</v>
      </c>
      <c r="K79" s="89">
        <f t="shared" si="6"/>
        <v>900</v>
      </c>
      <c r="L79" s="89">
        <f t="shared" si="6"/>
        <v>900</v>
      </c>
      <c r="M79" s="89">
        <f t="shared" si="6"/>
        <v>900</v>
      </c>
      <c r="N79" s="89"/>
      <c r="O79" s="89">
        <f>B79-SUM(D79:M79)</f>
        <v>14006</v>
      </c>
      <c r="P79" s="83"/>
      <c r="Q79" s="83"/>
    </row>
    <row r="80" spans="1:17" ht="17.7" x14ac:dyDescent="0.55000000000000004">
      <c r="A80" s="83"/>
      <c r="B80" s="88"/>
      <c r="C80" s="113"/>
      <c r="D80" s="98"/>
      <c r="E80" s="89"/>
      <c r="F80" s="83"/>
      <c r="G80" s="83"/>
      <c r="H80" s="83"/>
      <c r="I80" s="83"/>
      <c r="J80" s="83"/>
      <c r="K80" s="83"/>
      <c r="L80" s="83"/>
      <c r="M80" s="83"/>
      <c r="N80" s="83"/>
      <c r="O80" s="89">
        <f>B80-SUM(D80:M80)</f>
        <v>0</v>
      </c>
      <c r="P80" s="103"/>
      <c r="Q80" s="83"/>
    </row>
    <row r="81" spans="1:17" ht="17.7" x14ac:dyDescent="0.55000000000000004">
      <c r="A81" s="83"/>
      <c r="B81" s="114"/>
      <c r="C81" s="82"/>
      <c r="D81" s="98"/>
      <c r="E81" s="89"/>
      <c r="F81" s="83"/>
      <c r="G81" s="83"/>
      <c r="H81" s="83"/>
      <c r="I81" s="83"/>
      <c r="J81" s="83"/>
      <c r="K81" s="83"/>
      <c r="L81" s="83"/>
      <c r="M81" s="83"/>
      <c r="N81" s="83"/>
      <c r="O81" s="89">
        <f>B81-SUM(D81:M81)</f>
        <v>0</v>
      </c>
      <c r="P81" s="83"/>
      <c r="Q81" s="83"/>
    </row>
    <row r="82" spans="1:17" ht="17.7" x14ac:dyDescent="0.55000000000000004">
      <c r="A82" s="83"/>
      <c r="B82" s="89"/>
      <c r="C82" s="89">
        <f>SUM(C76:C81)</f>
        <v>0</v>
      </c>
      <c r="D82" s="89"/>
      <c r="E82" s="89"/>
      <c r="F82" s="88"/>
      <c r="G82" s="88"/>
      <c r="H82" s="88"/>
      <c r="I82" s="88"/>
      <c r="J82" s="88"/>
      <c r="K82" s="88"/>
      <c r="L82" s="88"/>
      <c r="M82" s="88"/>
      <c r="N82" s="88"/>
      <c r="O82" s="89"/>
      <c r="P82" s="82"/>
      <c r="Q82" s="83"/>
    </row>
    <row r="83" spans="1:17" ht="17.350000000000001" x14ac:dyDescent="0.5">
      <c r="A83" s="83"/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</row>
    <row r="85" spans="1:17" ht="17.350000000000001" x14ac:dyDescent="0.5">
      <c r="A85" s="83"/>
      <c r="B85" s="83"/>
      <c r="C85" s="83"/>
      <c r="F85" s="78"/>
      <c r="P85" s="44"/>
    </row>
    <row r="86" spans="1:17" ht="17.350000000000001" x14ac:dyDescent="0.5">
      <c r="A86" s="83"/>
      <c r="B86" s="83"/>
      <c r="C86" s="83"/>
      <c r="F86" s="78"/>
    </row>
    <row r="87" spans="1:17" ht="17.350000000000001" x14ac:dyDescent="0.5">
      <c r="A87" s="83"/>
      <c r="B87" s="83"/>
      <c r="C87" s="83"/>
      <c r="F87" s="77"/>
    </row>
    <row r="88" spans="1:17" ht="17.350000000000001" x14ac:dyDescent="0.5">
      <c r="A88" s="83"/>
      <c r="B88" s="83"/>
      <c r="C88" s="83"/>
      <c r="F88" s="77"/>
    </row>
    <row r="89" spans="1:17" ht="17.350000000000001" x14ac:dyDescent="0.5">
      <c r="A89" s="83"/>
      <c r="B89" s="83"/>
      <c r="C89" s="83"/>
    </row>
    <row r="90" spans="1:17" ht="17.350000000000001" x14ac:dyDescent="0.5">
      <c r="A90" s="83"/>
      <c r="B90" s="83"/>
      <c r="C90" s="83"/>
      <c r="D90" s="74"/>
    </row>
    <row r="91" spans="1:17" ht="17.350000000000001" x14ac:dyDescent="0.5">
      <c r="A91" s="83"/>
      <c r="B91" s="83"/>
      <c r="C91" s="83"/>
    </row>
  </sheetData>
  <pageMargins left="0.25" right="0" top="0.5" bottom="1" header="0.5" footer="0.5"/>
  <pageSetup scale="65" orientation="landscape" r:id="rId1"/>
  <headerFooter alignWithMargins="0"/>
  <rowBreaks count="1" manualBreakCount="1">
    <brk id="4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0EC1E-7351-4E9B-84AE-C6AA870DFB11}">
  <dimension ref="A1:U87"/>
  <sheetViews>
    <sheetView zoomScale="70" zoomScaleNormal="70" workbookViewId="0">
      <pane ySplit="1" topLeftCell="A2" activePane="bottomLeft" state="frozen"/>
      <selection pane="bottomLeft" activeCell="Q22" sqref="Q22"/>
    </sheetView>
  </sheetViews>
  <sheetFormatPr defaultColWidth="9.05859375" defaultRowHeight="15" x14ac:dyDescent="0.45"/>
  <cols>
    <col min="1" max="1" width="32.5859375" style="75" customWidth="1"/>
    <col min="2" max="2" width="14.5859375" style="75" customWidth="1"/>
    <col min="3" max="3" width="13.52734375" style="75" customWidth="1"/>
    <col min="4" max="4" width="14.703125" style="75" customWidth="1"/>
    <col min="5" max="5" width="13.1171875" style="75" customWidth="1"/>
    <col min="6" max="6" width="13.3515625" style="75" customWidth="1"/>
    <col min="7" max="7" width="12.9375" style="75" customWidth="1"/>
    <col min="8" max="8" width="13" style="75" customWidth="1"/>
    <col min="9" max="9" width="14.703125" style="75" customWidth="1"/>
    <col min="10" max="10" width="12.46875" style="75" customWidth="1"/>
    <col min="11" max="11" width="14.87890625" style="75" customWidth="1"/>
    <col min="12" max="12" width="12.64453125" style="75" customWidth="1"/>
    <col min="13" max="13" width="12.52734375" style="75" customWidth="1"/>
    <col min="14" max="14" width="2.87890625" style="75" customWidth="1"/>
    <col min="15" max="15" width="14.87890625" style="75" customWidth="1"/>
    <col min="16" max="16" width="10.46875" style="75" customWidth="1"/>
    <col min="17" max="17" width="14.1171875" style="75" customWidth="1"/>
    <col min="18" max="18" width="13.46875" style="75" customWidth="1"/>
    <col min="19" max="16384" width="9.05859375" style="75"/>
  </cols>
  <sheetData>
    <row r="1" spans="1:19" ht="17.7" x14ac:dyDescent="0.55000000000000004">
      <c r="A1" s="82" t="s">
        <v>274</v>
      </c>
      <c r="B1" s="84" t="s">
        <v>40</v>
      </c>
      <c r="C1" s="84" t="s">
        <v>43</v>
      </c>
      <c r="D1" s="84" t="s">
        <v>50</v>
      </c>
      <c r="E1" s="84" t="s">
        <v>51</v>
      </c>
      <c r="F1" s="84" t="s">
        <v>46</v>
      </c>
      <c r="G1" s="84" t="s">
        <v>47</v>
      </c>
      <c r="H1" s="84" t="s">
        <v>0</v>
      </c>
      <c r="I1" s="84" t="s">
        <v>3</v>
      </c>
      <c r="J1" s="84" t="s">
        <v>10</v>
      </c>
      <c r="K1" s="84" t="s">
        <v>11</v>
      </c>
      <c r="L1" s="84" t="s">
        <v>12</v>
      </c>
      <c r="M1" s="84" t="s">
        <v>13</v>
      </c>
      <c r="N1" s="84"/>
      <c r="O1" s="84" t="s">
        <v>44</v>
      </c>
      <c r="P1" s="86"/>
      <c r="Q1" s="83"/>
    </row>
    <row r="2" spans="1:19" ht="17.7" x14ac:dyDescent="0.55000000000000004">
      <c r="A2" s="82" t="s">
        <v>77</v>
      </c>
      <c r="B2" s="86"/>
      <c r="C2" s="83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3"/>
    </row>
    <row r="3" spans="1:19" ht="17.350000000000001" x14ac:dyDescent="0.5">
      <c r="A3" s="83" t="s">
        <v>125</v>
      </c>
      <c r="B3" s="89">
        <v>2552.5</v>
      </c>
      <c r="C3" s="89">
        <v>2552.5</v>
      </c>
      <c r="D3" s="89">
        <v>2552.5</v>
      </c>
      <c r="E3" s="89">
        <v>2552.5</v>
      </c>
      <c r="F3" s="89">
        <v>2552.5</v>
      </c>
      <c r="G3" s="89">
        <v>2552.5</v>
      </c>
      <c r="H3" s="89">
        <v>2552.5</v>
      </c>
      <c r="I3" s="89">
        <v>2552.5</v>
      </c>
      <c r="J3" s="89">
        <v>2552.5</v>
      </c>
      <c r="K3" s="89">
        <v>2552.5</v>
      </c>
      <c r="L3" s="89">
        <v>2552.5</v>
      </c>
      <c r="M3" s="89">
        <v>2552.5</v>
      </c>
      <c r="N3" s="124" t="s">
        <v>285</v>
      </c>
      <c r="O3" s="89">
        <f>SUM(B3:M3)</f>
        <v>30630</v>
      </c>
      <c r="P3" s="89"/>
      <c r="Q3" s="89"/>
    </row>
    <row r="4" spans="1:19" ht="17.350000000000001" x14ac:dyDescent="0.5">
      <c r="A4" s="83" t="s">
        <v>126</v>
      </c>
      <c r="B4" s="89">
        <v>400</v>
      </c>
      <c r="C4" s="89">
        <v>400</v>
      </c>
      <c r="D4" s="89">
        <v>400</v>
      </c>
      <c r="E4" s="89">
        <v>500</v>
      </c>
      <c r="F4" s="89">
        <v>400</v>
      </c>
      <c r="G4" s="89">
        <v>400</v>
      </c>
      <c r="H4" s="89">
        <v>400</v>
      </c>
      <c r="I4" s="89">
        <v>440</v>
      </c>
      <c r="J4" s="89">
        <v>400</v>
      </c>
      <c r="K4" s="89">
        <v>400</v>
      </c>
      <c r="L4" s="89">
        <v>400</v>
      </c>
      <c r="M4" s="89">
        <v>400</v>
      </c>
      <c r="N4" s="124" t="s">
        <v>285</v>
      </c>
      <c r="O4" s="89">
        <f>SUM(B4:M4)</f>
        <v>4940</v>
      </c>
      <c r="P4" s="89"/>
      <c r="Q4" s="83"/>
    </row>
    <row r="5" spans="1:19" ht="17.350000000000001" x14ac:dyDescent="0.5">
      <c r="A5" s="83" t="s">
        <v>269</v>
      </c>
      <c r="B5" s="89">
        <v>537.20000000000005</v>
      </c>
      <c r="C5" s="89"/>
      <c r="D5" s="89"/>
      <c r="E5" s="89"/>
      <c r="F5" s="89"/>
      <c r="G5" s="89"/>
      <c r="H5" s="89">
        <v>645.51</v>
      </c>
      <c r="I5" s="89">
        <v>300</v>
      </c>
      <c r="J5" s="89"/>
      <c r="K5" s="89">
        <v>645</v>
      </c>
      <c r="L5" s="89"/>
      <c r="M5" s="89"/>
      <c r="N5" s="89"/>
      <c r="O5" s="89">
        <f>SUM(B5:M5)</f>
        <v>2127.71</v>
      </c>
      <c r="P5" s="89"/>
      <c r="Q5" s="98"/>
    </row>
    <row r="6" spans="1:19" ht="17.350000000000001" x14ac:dyDescent="0.5">
      <c r="A6" s="83" t="s">
        <v>250</v>
      </c>
      <c r="B6" s="91">
        <f>1601+537</f>
        <v>2138</v>
      </c>
      <c r="C6" s="91">
        <v>550</v>
      </c>
      <c r="D6" s="91">
        <v>400</v>
      </c>
      <c r="E6" s="91">
        <f>400+645</f>
        <v>1045</v>
      </c>
      <c r="F6" s="91">
        <v>395</v>
      </c>
      <c r="G6" s="91">
        <v>395</v>
      </c>
      <c r="H6" s="91">
        <v>395</v>
      </c>
      <c r="I6" s="91">
        <v>395</v>
      </c>
      <c r="J6" s="91">
        <v>395</v>
      </c>
      <c r="K6" s="91">
        <v>395</v>
      </c>
      <c r="L6" s="91">
        <v>395</v>
      </c>
      <c r="M6" s="91">
        <v>395</v>
      </c>
      <c r="N6" s="124" t="s">
        <v>285</v>
      </c>
      <c r="O6" s="91">
        <f>SUM(B6:M6)</f>
        <v>7293</v>
      </c>
      <c r="P6" s="89"/>
      <c r="Q6" s="89"/>
    </row>
    <row r="7" spans="1:19" ht="17.350000000000001" x14ac:dyDescent="0.5">
      <c r="A7" s="83" t="s">
        <v>44</v>
      </c>
      <c r="B7" s="89">
        <f t="shared" ref="B7:K7" si="0">SUM(B3:B6)</f>
        <v>5627.7</v>
      </c>
      <c r="C7" s="89">
        <f t="shared" si="0"/>
        <v>3502.5</v>
      </c>
      <c r="D7" s="89">
        <f t="shared" si="0"/>
        <v>3352.5</v>
      </c>
      <c r="E7" s="89">
        <f t="shared" si="0"/>
        <v>4097.5</v>
      </c>
      <c r="F7" s="89">
        <f t="shared" si="0"/>
        <v>3347.5</v>
      </c>
      <c r="G7" s="89">
        <f t="shared" si="0"/>
        <v>3347.5</v>
      </c>
      <c r="H7" s="89">
        <f t="shared" si="0"/>
        <v>3993.01</v>
      </c>
      <c r="I7" s="89">
        <f t="shared" si="0"/>
        <v>3687.5</v>
      </c>
      <c r="J7" s="89">
        <f t="shared" si="0"/>
        <v>3347.5</v>
      </c>
      <c r="K7" s="89">
        <f t="shared" si="0"/>
        <v>3992.5</v>
      </c>
      <c r="L7" s="89">
        <f>SUM(L3:L6)</f>
        <v>3347.5</v>
      </c>
      <c r="M7" s="89">
        <f>SUM(M3:M6)</f>
        <v>3347.5</v>
      </c>
      <c r="N7" s="89"/>
      <c r="O7" s="89">
        <f>SUM(B7:M7)</f>
        <v>44990.71</v>
      </c>
      <c r="P7" s="89">
        <f>SUM(P3:P6)</f>
        <v>0</v>
      </c>
      <c r="Q7" s="89">
        <f>SUM(Q4:Q6)</f>
        <v>0</v>
      </c>
    </row>
    <row r="8" spans="1:19" ht="17.350000000000001" x14ac:dyDescent="0.5">
      <c r="A8" s="83"/>
      <c r="B8" s="116"/>
      <c r="C8" s="89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86"/>
      <c r="Q8" s="83"/>
    </row>
    <row r="9" spans="1:19" ht="17.7" x14ac:dyDescent="0.55000000000000004">
      <c r="A9" s="82" t="s">
        <v>128</v>
      </c>
      <c r="B9" s="116"/>
      <c r="C9" s="89"/>
      <c r="D9" s="116"/>
      <c r="E9" s="116"/>
      <c r="F9" s="116"/>
      <c r="G9" s="116"/>
      <c r="H9" s="116"/>
      <c r="I9" s="116"/>
      <c r="J9" s="116"/>
      <c r="K9" s="116"/>
      <c r="L9" s="116"/>
      <c r="M9" s="117"/>
      <c r="N9" s="117"/>
      <c r="O9" s="116"/>
      <c r="P9" s="86"/>
      <c r="Q9" s="83"/>
    </row>
    <row r="10" spans="1:19" ht="15.75" customHeight="1" x14ac:dyDescent="0.5">
      <c r="A10" s="83" t="s">
        <v>289</v>
      </c>
      <c r="B10" s="89">
        <v>250</v>
      </c>
      <c r="C10" s="89">
        <f>250+120</f>
        <v>370</v>
      </c>
      <c r="D10" s="89">
        <v>300</v>
      </c>
      <c r="E10" s="89">
        <v>400</v>
      </c>
      <c r="F10" s="89">
        <v>300</v>
      </c>
      <c r="G10" s="89">
        <v>300</v>
      </c>
      <c r="H10" s="89">
        <v>300</v>
      </c>
      <c r="I10" s="89">
        <v>300</v>
      </c>
      <c r="J10" s="89">
        <v>200</v>
      </c>
      <c r="K10" s="89">
        <v>150</v>
      </c>
      <c r="L10" s="89">
        <v>150</v>
      </c>
      <c r="M10" s="89">
        <v>150</v>
      </c>
      <c r="N10" s="124" t="s">
        <v>285</v>
      </c>
      <c r="O10" s="89">
        <f t="shared" ref="O10:O23" si="1">SUM(B10:M10)</f>
        <v>3170</v>
      </c>
      <c r="P10" s="89"/>
      <c r="Q10" s="89"/>
    </row>
    <row r="11" spans="1:19" ht="17.7" x14ac:dyDescent="0.55000000000000004">
      <c r="A11" s="83" t="s">
        <v>172</v>
      </c>
      <c r="B11" s="89">
        <v>645.51</v>
      </c>
      <c r="C11" s="89"/>
      <c r="D11" s="89"/>
      <c r="E11" s="89">
        <v>645.51</v>
      </c>
      <c r="F11" s="89"/>
      <c r="G11" s="89"/>
      <c r="H11" s="89">
        <v>645.51</v>
      </c>
      <c r="I11" s="89"/>
      <c r="J11" s="89"/>
      <c r="K11" s="89">
        <v>645.51</v>
      </c>
      <c r="L11" s="89"/>
      <c r="M11" s="89"/>
      <c r="N11" s="89"/>
      <c r="O11" s="89">
        <f t="shared" si="1"/>
        <v>2582.04</v>
      </c>
      <c r="P11" s="92"/>
      <c r="Q11" s="89"/>
    </row>
    <row r="12" spans="1:19" ht="17.350000000000001" x14ac:dyDescent="0.5">
      <c r="A12" s="83" t="s">
        <v>286</v>
      </c>
      <c r="B12" s="89">
        <v>100</v>
      </c>
      <c r="C12" s="89">
        <v>150</v>
      </c>
      <c r="D12" s="89">
        <v>150</v>
      </c>
      <c r="E12" s="89">
        <v>150</v>
      </c>
      <c r="F12" s="89">
        <v>150</v>
      </c>
      <c r="G12" s="89">
        <v>150</v>
      </c>
      <c r="H12" s="89">
        <v>150</v>
      </c>
      <c r="I12" s="89">
        <v>195</v>
      </c>
      <c r="J12" s="89">
        <v>150</v>
      </c>
      <c r="K12" s="89">
        <v>2</v>
      </c>
      <c r="L12" s="89">
        <v>100</v>
      </c>
      <c r="M12" s="89">
        <v>75</v>
      </c>
      <c r="N12" s="124" t="s">
        <v>285</v>
      </c>
      <c r="O12" s="89">
        <f t="shared" si="1"/>
        <v>1522</v>
      </c>
      <c r="P12" s="89"/>
      <c r="Q12" s="89"/>
    </row>
    <row r="13" spans="1:19" ht="17.350000000000001" x14ac:dyDescent="0.5">
      <c r="A13" s="83" t="s">
        <v>277</v>
      </c>
      <c r="B13" s="89">
        <v>97.45</v>
      </c>
      <c r="C13" s="89">
        <v>95</v>
      </c>
      <c r="D13" s="89">
        <v>95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>
        <f t="shared" si="1"/>
        <v>287.45</v>
      </c>
      <c r="P13" s="89"/>
      <c r="Q13" s="89"/>
    </row>
    <row r="14" spans="1:19" ht="20.350000000000001" customHeight="1" x14ac:dyDescent="0.55000000000000004">
      <c r="A14" s="83" t="s">
        <v>290</v>
      </c>
      <c r="B14" s="89">
        <v>300</v>
      </c>
      <c r="C14" s="89">
        <v>300</v>
      </c>
      <c r="D14" s="89">
        <v>300</v>
      </c>
      <c r="E14" s="89">
        <v>300</v>
      </c>
      <c r="F14" s="89">
        <v>300</v>
      </c>
      <c r="G14" s="89">
        <v>300</v>
      </c>
      <c r="H14" s="89">
        <v>300</v>
      </c>
      <c r="I14" s="89">
        <v>300</v>
      </c>
      <c r="J14" s="89">
        <v>300</v>
      </c>
      <c r="K14" s="89">
        <v>300</v>
      </c>
      <c r="L14" s="89">
        <v>300</v>
      </c>
      <c r="M14" s="89">
        <v>300</v>
      </c>
      <c r="N14" s="124" t="s">
        <v>285</v>
      </c>
      <c r="O14" s="89">
        <f t="shared" si="1"/>
        <v>3600</v>
      </c>
      <c r="P14" s="89"/>
      <c r="Q14" s="92"/>
      <c r="S14" s="44"/>
    </row>
    <row r="15" spans="1:19" ht="20.350000000000001" customHeight="1" x14ac:dyDescent="0.55000000000000004">
      <c r="A15" s="83" t="s">
        <v>292</v>
      </c>
      <c r="B15" s="89"/>
      <c r="C15" s="89"/>
      <c r="D15" s="89"/>
      <c r="E15" s="89"/>
      <c r="F15" s="89"/>
      <c r="G15" s="89"/>
      <c r="H15" s="89"/>
      <c r="I15" s="89"/>
      <c r="J15" s="89">
        <v>50</v>
      </c>
      <c r="K15" s="89">
        <v>50</v>
      </c>
      <c r="L15" s="89">
        <v>50</v>
      </c>
      <c r="M15" s="89">
        <v>50</v>
      </c>
      <c r="N15" s="124" t="s">
        <v>285</v>
      </c>
      <c r="O15" s="89">
        <f t="shared" si="1"/>
        <v>200</v>
      </c>
      <c r="P15" s="92"/>
      <c r="Q15" s="92"/>
    </row>
    <row r="16" spans="1:19" ht="20.350000000000001" customHeight="1" x14ac:dyDescent="0.55000000000000004">
      <c r="A16" s="83" t="s">
        <v>287</v>
      </c>
      <c r="B16" s="89"/>
      <c r="C16" s="89"/>
      <c r="D16" s="89"/>
      <c r="E16" s="89"/>
      <c r="F16" s="89"/>
      <c r="G16" s="89"/>
      <c r="H16" s="89"/>
      <c r="I16" s="89"/>
      <c r="J16" s="89"/>
      <c r="K16" s="89">
        <v>300</v>
      </c>
      <c r="L16" s="89">
        <v>350</v>
      </c>
      <c r="M16" s="89">
        <v>300</v>
      </c>
      <c r="N16" s="124" t="s">
        <v>285</v>
      </c>
      <c r="O16" s="89">
        <f t="shared" si="1"/>
        <v>950</v>
      </c>
      <c r="P16" s="92"/>
      <c r="Q16" s="92"/>
    </row>
    <row r="17" spans="1:21" ht="19.7" customHeight="1" x14ac:dyDescent="0.55000000000000004">
      <c r="A17" s="83" t="s">
        <v>88</v>
      </c>
      <c r="B17" s="114">
        <f t="shared" ref="B17:E17" si="2">355+45</f>
        <v>400</v>
      </c>
      <c r="C17" s="114">
        <f t="shared" si="2"/>
        <v>400</v>
      </c>
      <c r="D17" s="114">
        <f t="shared" si="2"/>
        <v>400</v>
      </c>
      <c r="E17" s="114">
        <f t="shared" si="2"/>
        <v>400</v>
      </c>
      <c r="F17" s="114">
        <v>395</v>
      </c>
      <c r="G17" s="114">
        <v>395</v>
      </c>
      <c r="H17" s="114">
        <v>395</v>
      </c>
      <c r="I17" s="114">
        <v>395</v>
      </c>
      <c r="J17" s="114">
        <v>395</v>
      </c>
      <c r="K17" s="114">
        <v>395</v>
      </c>
      <c r="L17" s="114">
        <v>395</v>
      </c>
      <c r="M17" s="114">
        <v>395</v>
      </c>
      <c r="N17" s="124" t="s">
        <v>285</v>
      </c>
      <c r="O17" s="114">
        <f t="shared" si="1"/>
        <v>4760</v>
      </c>
      <c r="P17" s="123"/>
      <c r="Q17" s="123"/>
    </row>
    <row r="18" spans="1:21" ht="19.7" customHeight="1" x14ac:dyDescent="0.55000000000000004">
      <c r="A18" s="83" t="s">
        <v>266</v>
      </c>
      <c r="B18" s="89">
        <v>537</v>
      </c>
      <c r="C18" s="89"/>
      <c r="D18" s="89"/>
      <c r="E18" s="89"/>
      <c r="F18" s="89"/>
      <c r="G18" s="89"/>
      <c r="H18" s="89"/>
      <c r="I18" s="89"/>
      <c r="J18" s="89"/>
      <c r="K18" s="89"/>
      <c r="L18" s="89"/>
      <c r="M18" s="92"/>
      <c r="N18" s="92"/>
      <c r="O18" s="89">
        <f t="shared" si="1"/>
        <v>537</v>
      </c>
      <c r="P18" s="89"/>
      <c r="Q18" s="89"/>
    </row>
    <row r="19" spans="1:21" ht="17.350000000000001" x14ac:dyDescent="0.5">
      <c r="A19" s="83" t="s">
        <v>235</v>
      </c>
      <c r="B19" s="89">
        <v>0</v>
      </c>
      <c r="C19" s="89"/>
      <c r="D19" s="89"/>
      <c r="E19" s="89">
        <v>0</v>
      </c>
      <c r="F19" s="89">
        <v>245.98</v>
      </c>
      <c r="G19" s="89">
        <v>0</v>
      </c>
      <c r="H19" s="89">
        <v>0</v>
      </c>
      <c r="I19" s="89">
        <v>0</v>
      </c>
      <c r="J19" s="89">
        <v>0</v>
      </c>
      <c r="K19" s="89">
        <v>0</v>
      </c>
      <c r="L19" s="89">
        <v>122.65</v>
      </c>
      <c r="M19" s="89">
        <v>128.46</v>
      </c>
      <c r="N19" s="124" t="s">
        <v>285</v>
      </c>
      <c r="O19" s="89">
        <f t="shared" si="1"/>
        <v>497.09000000000003</v>
      </c>
      <c r="P19" s="89"/>
      <c r="Q19" s="89"/>
    </row>
    <row r="20" spans="1:21" ht="17.350000000000001" x14ac:dyDescent="0.5">
      <c r="A20" s="83" t="s">
        <v>211</v>
      </c>
      <c r="B20" s="89">
        <v>24.23</v>
      </c>
      <c r="C20" s="89">
        <v>30</v>
      </c>
      <c r="D20" s="89">
        <v>25</v>
      </c>
      <c r="E20" s="89">
        <v>45</v>
      </c>
      <c r="F20" s="89">
        <v>119.08</v>
      </c>
      <c r="G20" s="89">
        <v>65</v>
      </c>
      <c r="H20" s="89">
        <v>38.799999999999997</v>
      </c>
      <c r="I20" s="89">
        <v>40</v>
      </c>
      <c r="J20" s="89">
        <v>55</v>
      </c>
      <c r="K20" s="89">
        <v>40</v>
      </c>
      <c r="L20" s="89">
        <v>90</v>
      </c>
      <c r="M20" s="89">
        <v>94</v>
      </c>
      <c r="N20" s="124" t="s">
        <v>285</v>
      </c>
      <c r="O20" s="89">
        <f t="shared" si="1"/>
        <v>666.11</v>
      </c>
      <c r="P20" s="89"/>
      <c r="Q20" s="118"/>
    </row>
    <row r="21" spans="1:21" ht="18.350000000000001" customHeight="1" x14ac:dyDescent="0.55000000000000004">
      <c r="A21" s="83" t="s">
        <v>183</v>
      </c>
      <c r="B21" s="114">
        <v>318</v>
      </c>
      <c r="C21" s="114">
        <v>396</v>
      </c>
      <c r="D21" s="114">
        <v>396</v>
      </c>
      <c r="E21" s="114">
        <v>396</v>
      </c>
      <c r="F21" s="114">
        <v>396</v>
      </c>
      <c r="G21" s="114">
        <v>396</v>
      </c>
      <c r="H21" s="114">
        <v>396</v>
      </c>
      <c r="I21" s="114">
        <v>396</v>
      </c>
      <c r="J21" s="114">
        <v>396</v>
      </c>
      <c r="K21" s="114">
        <v>396</v>
      </c>
      <c r="L21" s="114">
        <v>396</v>
      </c>
      <c r="M21" s="114">
        <v>396</v>
      </c>
      <c r="N21" s="124" t="s">
        <v>285</v>
      </c>
      <c r="O21" s="114">
        <f t="shared" si="1"/>
        <v>4674</v>
      </c>
      <c r="P21" s="123"/>
      <c r="Q21" s="114"/>
    </row>
    <row r="22" spans="1:21" ht="18.350000000000001" customHeight="1" x14ac:dyDescent="0.55000000000000004">
      <c r="A22" s="83" t="s">
        <v>276</v>
      </c>
      <c r="B22" s="89">
        <v>30</v>
      </c>
      <c r="C22" s="89">
        <v>30</v>
      </c>
      <c r="D22" s="89">
        <v>30</v>
      </c>
      <c r="E22" s="89">
        <v>30</v>
      </c>
      <c r="F22" s="89">
        <v>30</v>
      </c>
      <c r="G22" s="89">
        <v>30</v>
      </c>
      <c r="H22" s="89">
        <v>30</v>
      </c>
      <c r="I22" s="89">
        <v>30</v>
      </c>
      <c r="J22" s="89">
        <v>30</v>
      </c>
      <c r="K22" s="89">
        <v>30</v>
      </c>
      <c r="L22" s="89">
        <v>30</v>
      </c>
      <c r="M22" s="89">
        <v>30</v>
      </c>
      <c r="N22" s="124" t="s">
        <v>285</v>
      </c>
      <c r="O22" s="89">
        <f t="shared" si="1"/>
        <v>360</v>
      </c>
      <c r="P22" s="92"/>
      <c r="Q22" s="89"/>
    </row>
    <row r="23" spans="1:21" ht="15" customHeight="1" x14ac:dyDescent="0.55000000000000004">
      <c r="A23" s="83" t="s">
        <v>291</v>
      </c>
      <c r="B23" s="89">
        <v>62</v>
      </c>
      <c r="C23" s="89">
        <v>30</v>
      </c>
      <c r="D23" s="89">
        <v>30</v>
      </c>
      <c r="E23" s="89">
        <v>38.549999999999997</v>
      </c>
      <c r="F23" s="89">
        <v>2</v>
      </c>
      <c r="G23" s="89">
        <v>30</v>
      </c>
      <c r="H23" s="89">
        <v>30</v>
      </c>
      <c r="I23" s="89">
        <v>30</v>
      </c>
      <c r="J23" s="89">
        <v>30</v>
      </c>
      <c r="K23" s="89">
        <v>30</v>
      </c>
      <c r="L23" s="89">
        <v>30</v>
      </c>
      <c r="M23" s="89">
        <v>30</v>
      </c>
      <c r="N23" s="124" t="s">
        <v>285</v>
      </c>
      <c r="O23" s="89">
        <f t="shared" si="1"/>
        <v>372.55</v>
      </c>
      <c r="P23" s="92"/>
      <c r="Q23" s="89"/>
    </row>
    <row r="24" spans="1:21" ht="15" customHeight="1" x14ac:dyDescent="0.5">
      <c r="A24" s="83" t="s">
        <v>163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</row>
    <row r="25" spans="1:21" ht="17.350000000000001" x14ac:dyDescent="0.5">
      <c r="A25" s="83" t="s">
        <v>278</v>
      </c>
      <c r="B25" s="89">
        <v>190.17</v>
      </c>
      <c r="C25" s="93">
        <v>167.1</v>
      </c>
      <c r="D25" s="89">
        <v>152.86000000000001</v>
      </c>
      <c r="E25" s="89">
        <v>176.75</v>
      </c>
      <c r="F25" s="89">
        <v>60.21</v>
      </c>
      <c r="G25" s="89">
        <v>180</v>
      </c>
      <c r="H25" s="89">
        <v>91.88</v>
      </c>
      <c r="I25" s="89">
        <v>147.22</v>
      </c>
      <c r="J25" s="89">
        <v>193.99</v>
      </c>
      <c r="K25" s="89">
        <v>128.91</v>
      </c>
      <c r="L25" s="89">
        <v>62.8</v>
      </c>
      <c r="M25" s="89">
        <v>50.75</v>
      </c>
      <c r="N25" s="124" t="s">
        <v>285</v>
      </c>
      <c r="O25" s="89">
        <f t="shared" ref="O25:O32" si="3">SUM(B25:M25)</f>
        <v>1602.64</v>
      </c>
      <c r="P25" s="89"/>
      <c r="Q25" s="89"/>
    </row>
    <row r="26" spans="1:21" ht="17.350000000000001" x14ac:dyDescent="0.5">
      <c r="A26" s="83" t="s">
        <v>227</v>
      </c>
      <c r="B26" s="89">
        <v>240</v>
      </c>
      <c r="C26" s="89">
        <v>240</v>
      </c>
      <c r="D26" s="89">
        <v>211</v>
      </c>
      <c r="E26" s="89"/>
      <c r="F26" s="89">
        <v>0</v>
      </c>
      <c r="G26" s="89"/>
      <c r="H26" s="89">
        <v>200</v>
      </c>
      <c r="I26" s="89">
        <v>200</v>
      </c>
      <c r="J26" s="89">
        <v>200</v>
      </c>
      <c r="K26" s="89">
        <v>200</v>
      </c>
      <c r="L26" s="89">
        <v>200</v>
      </c>
      <c r="M26" s="89">
        <v>200</v>
      </c>
      <c r="N26" s="124" t="s">
        <v>285</v>
      </c>
      <c r="O26" s="89">
        <f t="shared" si="3"/>
        <v>1891</v>
      </c>
      <c r="P26" s="89"/>
      <c r="Q26" s="89"/>
    </row>
    <row r="27" spans="1:21" ht="17.7" x14ac:dyDescent="0.55000000000000004">
      <c r="A27" s="83" t="s">
        <v>240</v>
      </c>
      <c r="B27" s="89"/>
      <c r="C27" s="89"/>
      <c r="D27" s="89"/>
      <c r="E27" s="89"/>
      <c r="F27" s="92">
        <v>0</v>
      </c>
      <c r="G27" s="89"/>
      <c r="H27" s="89">
        <v>50</v>
      </c>
      <c r="I27" s="89">
        <v>50</v>
      </c>
      <c r="J27" s="89">
        <v>50</v>
      </c>
      <c r="K27" s="89">
        <v>50</v>
      </c>
      <c r="L27" s="89">
        <v>30</v>
      </c>
      <c r="M27" s="89"/>
      <c r="N27" s="89"/>
      <c r="O27" s="89">
        <f t="shared" si="3"/>
        <v>230</v>
      </c>
      <c r="P27" s="89"/>
      <c r="Q27" s="89"/>
    </row>
    <row r="28" spans="1:21" ht="17.7" x14ac:dyDescent="0.55000000000000004">
      <c r="A28" s="83" t="s">
        <v>265</v>
      </c>
      <c r="B28" s="89"/>
      <c r="C28" s="89"/>
      <c r="D28" s="89"/>
      <c r="E28" s="89"/>
      <c r="F28" s="92"/>
      <c r="G28" s="89"/>
      <c r="H28" s="89"/>
      <c r="I28" s="89"/>
      <c r="J28" s="89"/>
      <c r="K28" s="92"/>
      <c r="L28" s="89"/>
      <c r="M28" s="89"/>
      <c r="N28" s="89"/>
      <c r="O28" s="89">
        <f t="shared" si="3"/>
        <v>0</v>
      </c>
      <c r="P28" s="127"/>
      <c r="Q28" s="92"/>
    </row>
    <row r="29" spans="1:21" ht="17.7" x14ac:dyDescent="0.55000000000000004">
      <c r="A29" s="83" t="s">
        <v>275</v>
      </c>
      <c r="B29" s="89">
        <v>158.78</v>
      </c>
      <c r="C29" s="89">
        <v>170.15</v>
      </c>
      <c r="D29" s="89">
        <v>170.15</v>
      </c>
      <c r="E29" s="89">
        <v>170.15</v>
      </c>
      <c r="F29" s="89">
        <v>162.32</v>
      </c>
      <c r="G29" s="89">
        <v>170.47</v>
      </c>
      <c r="H29" s="89">
        <v>170.47</v>
      </c>
      <c r="I29" s="89">
        <v>170.15</v>
      </c>
      <c r="J29" s="89">
        <v>170.15</v>
      </c>
      <c r="K29" s="89">
        <v>170.87</v>
      </c>
      <c r="L29" s="89">
        <v>170.32</v>
      </c>
      <c r="M29" s="89">
        <v>170.32</v>
      </c>
      <c r="N29" s="124" t="s">
        <v>285</v>
      </c>
      <c r="O29" s="89">
        <f t="shared" si="3"/>
        <v>2024.3000000000002</v>
      </c>
      <c r="P29" s="92"/>
      <c r="Q29" s="92"/>
      <c r="R29" s="74"/>
      <c r="U29" s="74"/>
    </row>
    <row r="30" spans="1:21" ht="17.350000000000001" x14ac:dyDescent="0.5">
      <c r="A30" s="83" t="s">
        <v>236</v>
      </c>
      <c r="B30" s="89">
        <v>53.86</v>
      </c>
      <c r="C30" s="89">
        <v>53.59</v>
      </c>
      <c r="D30" s="89">
        <v>53.59</v>
      </c>
      <c r="E30" s="89">
        <v>53.62</v>
      </c>
      <c r="F30" s="89">
        <v>73.59</v>
      </c>
      <c r="G30" s="89">
        <v>73.02</v>
      </c>
      <c r="H30" s="89">
        <v>72.930000000000007</v>
      </c>
      <c r="I30" s="89">
        <v>323.63</v>
      </c>
      <c r="J30" s="89">
        <v>60.79</v>
      </c>
      <c r="K30" s="89">
        <v>66.790000000000006</v>
      </c>
      <c r="L30" s="89">
        <v>66.790000000000006</v>
      </c>
      <c r="M30" s="89">
        <v>66.790000000000006</v>
      </c>
      <c r="N30" s="124" t="s">
        <v>285</v>
      </c>
      <c r="O30" s="89">
        <f t="shared" si="3"/>
        <v>1018.9899999999998</v>
      </c>
      <c r="P30" s="89">
        <f>O30-I30+K30</f>
        <v>762.14999999999975</v>
      </c>
      <c r="Q30" s="89"/>
      <c r="R30" s="74"/>
    </row>
    <row r="31" spans="1:21" ht="17.350000000000001" x14ac:dyDescent="0.5">
      <c r="A31" s="83" t="s">
        <v>178</v>
      </c>
      <c r="B31" s="89">
        <v>414</v>
      </c>
      <c r="C31" s="89">
        <v>150</v>
      </c>
      <c r="D31" s="89"/>
      <c r="E31" s="89"/>
      <c r="F31" s="89">
        <v>0</v>
      </c>
      <c r="G31" s="89"/>
      <c r="H31" s="89"/>
      <c r="I31" s="89"/>
      <c r="J31" s="89"/>
      <c r="K31" s="89"/>
      <c r="L31" s="89"/>
      <c r="M31" s="89"/>
      <c r="N31" s="89"/>
      <c r="O31" s="89">
        <f t="shared" si="3"/>
        <v>564</v>
      </c>
      <c r="P31" s="89"/>
      <c r="Q31" s="89"/>
    </row>
    <row r="32" spans="1:21" ht="17.7" x14ac:dyDescent="0.55000000000000004">
      <c r="A32" s="83" t="s">
        <v>29</v>
      </c>
      <c r="B32" s="91">
        <v>585</v>
      </c>
      <c r="C32" s="91">
        <v>585</v>
      </c>
      <c r="D32" s="91">
        <v>585</v>
      </c>
      <c r="E32" s="91">
        <v>585</v>
      </c>
      <c r="F32" s="91">
        <v>585</v>
      </c>
      <c r="G32" s="91">
        <v>585</v>
      </c>
      <c r="H32" s="91">
        <v>590</v>
      </c>
      <c r="I32" s="91">
        <v>590</v>
      </c>
      <c r="J32" s="91">
        <v>590</v>
      </c>
      <c r="K32" s="91">
        <v>590</v>
      </c>
      <c r="L32" s="91">
        <v>590</v>
      </c>
      <c r="M32" s="91">
        <v>590</v>
      </c>
      <c r="N32" s="124" t="s">
        <v>285</v>
      </c>
      <c r="O32" s="91">
        <f t="shared" si="3"/>
        <v>7050</v>
      </c>
      <c r="P32" s="92"/>
      <c r="Q32" s="91"/>
    </row>
    <row r="33" spans="1:19" s="104" customFormat="1" ht="17.7" x14ac:dyDescent="0.55000000000000004">
      <c r="A33" s="92"/>
      <c r="B33" s="89">
        <f>SUM(B10:B32)</f>
        <v>4406</v>
      </c>
      <c r="C33" s="89">
        <f>SUM(C10:C32)</f>
        <v>3166.84</v>
      </c>
      <c r="D33" s="89">
        <f t="shared" ref="D33:O33" si="4">SUM(D10:D32)</f>
        <v>2898.6000000000004</v>
      </c>
      <c r="E33" s="89">
        <f t="shared" si="4"/>
        <v>3390.5800000000004</v>
      </c>
      <c r="F33" s="89">
        <f t="shared" si="4"/>
        <v>2819.1800000000003</v>
      </c>
      <c r="G33" s="89">
        <f t="shared" si="4"/>
        <v>2674.4900000000002</v>
      </c>
      <c r="H33" s="89">
        <f t="shared" si="4"/>
        <v>3460.5899999999997</v>
      </c>
      <c r="I33" s="89">
        <f t="shared" si="4"/>
        <v>3167.0000000000005</v>
      </c>
      <c r="J33" s="89">
        <f t="shared" si="4"/>
        <v>2870.93</v>
      </c>
      <c r="K33" s="89">
        <f t="shared" si="4"/>
        <v>3545.08</v>
      </c>
      <c r="L33" s="89">
        <f t="shared" si="4"/>
        <v>3133.5600000000004</v>
      </c>
      <c r="M33" s="89">
        <f t="shared" si="4"/>
        <v>3026.32</v>
      </c>
      <c r="N33" s="89"/>
      <c r="O33" s="89">
        <f t="shared" si="4"/>
        <v>38559.17</v>
      </c>
      <c r="P33" s="89"/>
      <c r="Q33" s="89">
        <f>SUM(Q10:Q32)</f>
        <v>0</v>
      </c>
      <c r="R33" s="104">
        <f>Q7-Q33</f>
        <v>0</v>
      </c>
    </row>
    <row r="34" spans="1:19" ht="17.7" x14ac:dyDescent="0.55000000000000004">
      <c r="A34" s="83" t="s">
        <v>129</v>
      </c>
      <c r="B34" s="89"/>
      <c r="C34" s="89"/>
      <c r="D34" s="89"/>
      <c r="E34" s="89"/>
      <c r="F34" s="89"/>
      <c r="G34" s="92"/>
      <c r="H34" s="92"/>
      <c r="I34" s="92"/>
      <c r="J34" s="92"/>
      <c r="K34" s="92"/>
      <c r="L34" s="92"/>
      <c r="M34" s="92"/>
      <c r="N34" s="92"/>
      <c r="O34" s="89"/>
      <c r="P34" s="83"/>
      <c r="Q34" s="82"/>
    </row>
    <row r="35" spans="1:19" ht="17.350000000000001" x14ac:dyDescent="0.5">
      <c r="A35" s="83" t="s">
        <v>87</v>
      </c>
      <c r="B35" s="93"/>
      <c r="C35" s="93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89">
        <f>SUM(B35:M35)</f>
        <v>0</v>
      </c>
      <c r="P35" s="89"/>
      <c r="Q35" s="93"/>
    </row>
    <row r="36" spans="1:19" ht="17.350000000000001" x14ac:dyDescent="0.5">
      <c r="A36" s="83" t="s">
        <v>33</v>
      </c>
      <c r="B36" s="93">
        <v>300</v>
      </c>
      <c r="C36" s="93">
        <v>300</v>
      </c>
      <c r="D36" s="93">
        <v>400</v>
      </c>
      <c r="E36" s="93">
        <v>400</v>
      </c>
      <c r="F36" s="93">
        <v>400</v>
      </c>
      <c r="G36" s="93">
        <v>400</v>
      </c>
      <c r="H36" s="93">
        <v>400</v>
      </c>
      <c r="I36" s="93">
        <v>100</v>
      </c>
      <c r="J36" s="93">
        <v>250</v>
      </c>
      <c r="K36" s="93">
        <v>250</v>
      </c>
      <c r="L36" s="93">
        <v>250</v>
      </c>
      <c r="M36" s="93">
        <v>250</v>
      </c>
      <c r="N36" s="93"/>
      <c r="O36" s="89">
        <f>SUM(B36:M36)</f>
        <v>3700</v>
      </c>
      <c r="P36" s="89"/>
      <c r="Q36" s="95"/>
      <c r="S36" s="74"/>
    </row>
    <row r="37" spans="1:19" ht="17.350000000000001" x14ac:dyDescent="0.5">
      <c r="A37" s="83" t="s">
        <v>34</v>
      </c>
      <c r="B37" s="96">
        <v>120</v>
      </c>
      <c r="C37" s="96">
        <v>120</v>
      </c>
      <c r="D37" s="96">
        <v>120</v>
      </c>
      <c r="E37" s="96">
        <v>120</v>
      </c>
      <c r="F37" s="91">
        <v>120</v>
      </c>
      <c r="G37" s="91">
        <v>120</v>
      </c>
      <c r="H37" s="91">
        <v>75</v>
      </c>
      <c r="I37" s="91">
        <v>120</v>
      </c>
      <c r="J37" s="91">
        <v>100</v>
      </c>
      <c r="K37" s="91">
        <v>120</v>
      </c>
      <c r="L37" s="91">
        <v>120</v>
      </c>
      <c r="M37" s="91">
        <v>120</v>
      </c>
      <c r="N37" s="91"/>
      <c r="O37" s="91">
        <f>SUM(B37:M37)</f>
        <v>1375</v>
      </c>
      <c r="P37" s="89"/>
      <c r="Q37" s="90"/>
    </row>
    <row r="38" spans="1:19" s="115" customFormat="1" ht="17.350000000000001" x14ac:dyDescent="0.5">
      <c r="A38" s="94"/>
      <c r="B38" s="89">
        <f>SUM(B35:B37)</f>
        <v>420</v>
      </c>
      <c r="C38" s="89">
        <f t="shared" ref="C38:M38" si="5">SUM(C35:C37)</f>
        <v>420</v>
      </c>
      <c r="D38" s="89">
        <f t="shared" si="5"/>
        <v>520</v>
      </c>
      <c r="E38" s="89">
        <f t="shared" si="5"/>
        <v>520</v>
      </c>
      <c r="F38" s="89">
        <f t="shared" si="5"/>
        <v>520</v>
      </c>
      <c r="G38" s="89">
        <f t="shared" si="5"/>
        <v>520</v>
      </c>
      <c r="H38" s="89">
        <f t="shared" si="5"/>
        <v>475</v>
      </c>
      <c r="I38" s="89">
        <f t="shared" si="5"/>
        <v>220</v>
      </c>
      <c r="J38" s="89">
        <f t="shared" si="5"/>
        <v>350</v>
      </c>
      <c r="K38" s="89">
        <f t="shared" si="5"/>
        <v>370</v>
      </c>
      <c r="L38" s="89">
        <f t="shared" si="5"/>
        <v>370</v>
      </c>
      <c r="M38" s="89">
        <f t="shared" si="5"/>
        <v>370</v>
      </c>
      <c r="N38" s="89"/>
      <c r="O38" s="89">
        <f>O33+SUM(O35:O37)</f>
        <v>43634.17</v>
      </c>
      <c r="P38" s="94"/>
      <c r="Q38" s="94">
        <f>SUM(Q35:Q37)</f>
        <v>0</v>
      </c>
    </row>
    <row r="39" spans="1:19" ht="17.350000000000001" x14ac:dyDescent="0.5">
      <c r="A39" s="83" t="s">
        <v>130</v>
      </c>
      <c r="B39" s="89">
        <f>B33+B38</f>
        <v>4826</v>
      </c>
      <c r="C39" s="89">
        <f t="shared" ref="C39:M39" si="6">C33+C38</f>
        <v>3586.84</v>
      </c>
      <c r="D39" s="89">
        <f t="shared" si="6"/>
        <v>3418.6000000000004</v>
      </c>
      <c r="E39" s="89">
        <f t="shared" si="6"/>
        <v>3910.5800000000004</v>
      </c>
      <c r="F39" s="89">
        <f t="shared" si="6"/>
        <v>3339.1800000000003</v>
      </c>
      <c r="G39" s="89">
        <f t="shared" si="6"/>
        <v>3194.4900000000002</v>
      </c>
      <c r="H39" s="89">
        <f t="shared" si="6"/>
        <v>3935.5899999999997</v>
      </c>
      <c r="I39" s="89">
        <f t="shared" si="6"/>
        <v>3387.0000000000005</v>
      </c>
      <c r="J39" s="89">
        <f t="shared" si="6"/>
        <v>3220.93</v>
      </c>
      <c r="K39" s="89">
        <f t="shared" si="6"/>
        <v>3915.08</v>
      </c>
      <c r="L39" s="89">
        <f t="shared" si="6"/>
        <v>3503.5600000000004</v>
      </c>
      <c r="M39" s="89">
        <f t="shared" si="6"/>
        <v>3396.32</v>
      </c>
      <c r="N39" s="89"/>
      <c r="O39" s="89">
        <f>SUM(B39:M39)</f>
        <v>43634.17</v>
      </c>
      <c r="P39" s="89"/>
      <c r="Q39" s="88"/>
      <c r="S39" s="74"/>
    </row>
    <row r="40" spans="1:19" ht="17.7" x14ac:dyDescent="0.55000000000000004">
      <c r="A40" s="82"/>
      <c r="B40" s="89">
        <f>B7-B39</f>
        <v>801.69999999999982</v>
      </c>
      <c r="C40" s="89">
        <f>C7-C39</f>
        <v>-84.340000000000146</v>
      </c>
      <c r="D40" s="89">
        <f t="shared" ref="D40:M40" si="7">D7-D39</f>
        <v>-66.100000000000364</v>
      </c>
      <c r="E40" s="89">
        <f t="shared" si="7"/>
        <v>186.91999999999962</v>
      </c>
      <c r="F40" s="89">
        <f t="shared" si="7"/>
        <v>8.319999999999709</v>
      </c>
      <c r="G40" s="89">
        <f t="shared" si="7"/>
        <v>153.00999999999976</v>
      </c>
      <c r="H40" s="89">
        <f t="shared" si="7"/>
        <v>57.420000000000528</v>
      </c>
      <c r="I40" s="89">
        <f t="shared" si="7"/>
        <v>300.49999999999955</v>
      </c>
      <c r="J40" s="89">
        <f t="shared" si="7"/>
        <v>126.57000000000016</v>
      </c>
      <c r="K40" s="89">
        <f t="shared" si="7"/>
        <v>77.420000000000073</v>
      </c>
      <c r="L40" s="89">
        <f t="shared" si="7"/>
        <v>-156.0600000000004</v>
      </c>
      <c r="M40" s="89">
        <f t="shared" si="7"/>
        <v>-48.820000000000164</v>
      </c>
      <c r="N40" s="89"/>
      <c r="O40" s="89">
        <f>SUM(B40:M40)</f>
        <v>1356.5399999999981</v>
      </c>
      <c r="P40" s="89"/>
      <c r="Q40" s="99"/>
      <c r="S40" s="74"/>
    </row>
    <row r="41" spans="1:19" ht="17.7" x14ac:dyDescent="0.55000000000000004">
      <c r="A41" s="82"/>
      <c r="B41" s="89"/>
      <c r="C41" s="89"/>
      <c r="D41" s="89"/>
      <c r="E41" s="89"/>
      <c r="F41" s="89"/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99"/>
      <c r="S41" s="74"/>
    </row>
    <row r="42" spans="1:19" ht="17.7" x14ac:dyDescent="0.55000000000000004">
      <c r="A42" s="82"/>
      <c r="B42" s="8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89"/>
      <c r="P42" s="89"/>
      <c r="Q42" s="99"/>
      <c r="S42" s="74"/>
    </row>
    <row r="43" spans="1:19" ht="17.7" x14ac:dyDescent="0.55000000000000004">
      <c r="A43" s="83"/>
      <c r="B43" s="83"/>
      <c r="C43" s="83"/>
      <c r="D43" s="83"/>
      <c r="E43" s="83"/>
      <c r="F43" s="83"/>
      <c r="G43" s="83"/>
      <c r="H43" s="82"/>
      <c r="I43" s="82"/>
      <c r="J43" s="83"/>
      <c r="K43" s="83"/>
      <c r="L43" s="83"/>
      <c r="M43" s="83"/>
      <c r="N43" s="83"/>
      <c r="O43" s="83"/>
      <c r="P43" s="83"/>
      <c r="Q43" s="88"/>
    </row>
    <row r="44" spans="1:19" ht="17.7" x14ac:dyDescent="0.55000000000000004">
      <c r="A44" s="83" t="s">
        <v>270</v>
      </c>
      <c r="B44" s="83"/>
      <c r="C44" s="99"/>
      <c r="D44" s="98"/>
      <c r="E44" s="83"/>
      <c r="F44" s="83"/>
      <c r="G44" s="98"/>
      <c r="H44" s="83"/>
      <c r="I44" s="83"/>
      <c r="J44" s="100"/>
      <c r="K44" s="82"/>
      <c r="L44" s="83"/>
      <c r="M44" s="83"/>
      <c r="N44" s="83"/>
      <c r="O44" s="83"/>
      <c r="P44" s="83"/>
      <c r="Q44" s="83"/>
    </row>
    <row r="45" spans="1:19" ht="17.350000000000001" x14ac:dyDescent="0.5">
      <c r="A45" s="83" t="s">
        <v>271</v>
      </c>
      <c r="B45" s="83"/>
      <c r="C45" s="83"/>
      <c r="D45" s="83"/>
      <c r="E45" s="83"/>
      <c r="F45" s="83"/>
      <c r="G45" s="83"/>
      <c r="H45" s="83"/>
      <c r="I45" s="83"/>
      <c r="J45" s="99"/>
      <c r="K45" s="83"/>
      <c r="L45" s="83"/>
      <c r="M45" s="83"/>
      <c r="N45" s="83"/>
      <c r="O45" s="83"/>
      <c r="P45" s="83"/>
      <c r="Q45" s="83"/>
      <c r="R45" s="79"/>
    </row>
    <row r="46" spans="1:19" ht="17.7" x14ac:dyDescent="0.55000000000000004">
      <c r="A46" s="83" t="s">
        <v>272</v>
      </c>
      <c r="B46" s="83"/>
      <c r="C46" s="83"/>
      <c r="D46" s="83"/>
      <c r="E46" s="83"/>
      <c r="F46" s="83"/>
      <c r="G46" s="99"/>
      <c r="H46" s="99"/>
      <c r="I46" s="99"/>
      <c r="J46" s="83"/>
      <c r="K46" s="83"/>
      <c r="L46" s="83"/>
      <c r="M46" s="83"/>
      <c r="N46" s="83"/>
      <c r="O46" s="83"/>
      <c r="P46" s="83"/>
      <c r="Q46" s="82"/>
      <c r="R46" s="79"/>
    </row>
    <row r="47" spans="1:19" ht="17.7" x14ac:dyDescent="0.55000000000000004">
      <c r="A47" s="83" t="s">
        <v>273</v>
      </c>
      <c r="B47" s="83"/>
      <c r="C47" s="83"/>
      <c r="D47" s="83"/>
      <c r="E47" s="83"/>
      <c r="F47" s="83"/>
      <c r="G47" s="83"/>
      <c r="H47" s="83"/>
      <c r="I47" s="82"/>
      <c r="J47" s="83"/>
      <c r="K47" s="83"/>
      <c r="L47" s="83"/>
      <c r="M47" s="83"/>
      <c r="N47" s="83"/>
      <c r="O47" s="83"/>
      <c r="P47" s="83"/>
      <c r="Q47" s="83">
        <f>293700-5628</f>
        <v>288072</v>
      </c>
      <c r="R47" s="79"/>
    </row>
    <row r="48" spans="1:19" ht="17.7" x14ac:dyDescent="0.55000000000000004">
      <c r="A48" s="83" t="s">
        <v>234</v>
      </c>
      <c r="B48" s="83"/>
      <c r="C48" s="83"/>
      <c r="D48" s="83"/>
      <c r="E48" s="83"/>
      <c r="F48" s="83"/>
      <c r="G48" s="83"/>
      <c r="H48" s="83"/>
      <c r="I48" s="82"/>
      <c r="J48" s="83"/>
      <c r="K48" s="83"/>
      <c r="L48" s="83"/>
      <c r="M48" s="83"/>
      <c r="N48" s="83"/>
      <c r="O48" s="83"/>
      <c r="P48" s="83"/>
      <c r="Q48" s="83"/>
      <c r="R48" s="79"/>
    </row>
    <row r="49" spans="1:18" ht="17.7" x14ac:dyDescent="0.55000000000000004">
      <c r="A49" s="83"/>
      <c r="B49" s="83"/>
      <c r="C49" s="83"/>
      <c r="D49" s="83"/>
      <c r="E49" s="83"/>
      <c r="F49" s="83"/>
      <c r="G49" s="83"/>
      <c r="H49" s="83"/>
      <c r="I49" s="82"/>
      <c r="J49" s="83"/>
      <c r="K49" s="83"/>
      <c r="L49" s="83"/>
      <c r="M49" s="83"/>
      <c r="N49" s="83"/>
      <c r="O49" s="83"/>
      <c r="P49" s="83"/>
      <c r="Q49" s="83"/>
      <c r="R49" s="79"/>
    </row>
    <row r="50" spans="1:18" ht="17.7" x14ac:dyDescent="0.55000000000000004">
      <c r="A50" s="83"/>
      <c r="B50" s="83"/>
      <c r="C50" s="83"/>
      <c r="D50" s="83"/>
      <c r="E50" s="83"/>
      <c r="F50" s="83"/>
      <c r="G50" s="83"/>
      <c r="H50" s="83"/>
      <c r="I50" s="82"/>
      <c r="J50" s="83"/>
      <c r="K50" s="83"/>
      <c r="L50" s="83"/>
      <c r="M50" s="83"/>
      <c r="N50" s="83"/>
      <c r="O50" s="83"/>
      <c r="P50" s="83"/>
      <c r="Q50" s="83"/>
      <c r="R50" s="79"/>
    </row>
    <row r="51" spans="1:18" ht="17.7" x14ac:dyDescent="0.55000000000000004">
      <c r="A51" s="83"/>
      <c r="B51" s="83"/>
      <c r="C51" s="83"/>
      <c r="D51" s="83"/>
      <c r="E51" s="83"/>
      <c r="F51" s="83"/>
      <c r="G51" s="83"/>
      <c r="H51" s="83"/>
      <c r="I51" s="82"/>
      <c r="J51" s="83"/>
      <c r="K51" s="83"/>
      <c r="L51" s="83"/>
      <c r="M51" s="83"/>
      <c r="N51" s="83"/>
      <c r="O51" s="83"/>
      <c r="P51" s="83"/>
      <c r="Q51" s="83"/>
      <c r="R51" s="79"/>
    </row>
    <row r="52" spans="1:18" ht="17.7" x14ac:dyDescent="0.55000000000000004">
      <c r="A52" s="83"/>
      <c r="B52" s="83"/>
      <c r="C52" s="83"/>
      <c r="D52" s="83"/>
      <c r="E52" s="83"/>
      <c r="F52" s="83"/>
      <c r="G52" s="83"/>
      <c r="H52" s="83"/>
      <c r="I52" s="82"/>
      <c r="J52" s="83"/>
      <c r="K52" s="83"/>
      <c r="L52" s="83"/>
      <c r="M52" s="83"/>
      <c r="N52" s="83"/>
      <c r="O52" s="83"/>
      <c r="P52" s="83"/>
      <c r="Q52" s="83"/>
      <c r="R52" s="79"/>
    </row>
    <row r="53" spans="1:18" ht="17.7" x14ac:dyDescent="0.55000000000000004">
      <c r="A53" s="83"/>
      <c r="B53" s="83"/>
      <c r="C53" s="83"/>
      <c r="D53" s="83"/>
      <c r="E53" s="83"/>
      <c r="F53" s="83"/>
      <c r="G53" s="83"/>
      <c r="H53" s="83"/>
      <c r="I53" s="82"/>
      <c r="J53" s="83"/>
      <c r="K53" s="83"/>
      <c r="L53" s="83"/>
      <c r="M53" s="83"/>
      <c r="N53" s="83"/>
      <c r="O53" s="83"/>
      <c r="P53" s="83"/>
      <c r="Q53" s="83"/>
      <c r="R53" s="79"/>
    </row>
    <row r="54" spans="1:18" ht="17.350000000000001" x14ac:dyDescent="0.5">
      <c r="A54" s="83"/>
      <c r="B54" s="83"/>
      <c r="C54" s="83"/>
      <c r="D54" s="83" t="s">
        <v>299</v>
      </c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1:18" ht="17.7" x14ac:dyDescent="0.55000000000000004">
      <c r="A55" s="82" t="s">
        <v>267</v>
      </c>
      <c r="B55" s="101">
        <v>10999.99</v>
      </c>
      <c r="C55" s="99"/>
      <c r="D55" s="99">
        <v>16624.990000000002</v>
      </c>
      <c r="E55" s="99"/>
      <c r="F55" s="99"/>
      <c r="G55" s="99"/>
      <c r="H55" s="99"/>
      <c r="I55" s="99"/>
      <c r="J55" s="89"/>
      <c r="K55" s="83"/>
      <c r="L55" s="83"/>
      <c r="M55" s="83"/>
      <c r="N55" s="83"/>
      <c r="O55" s="83"/>
      <c r="P55" s="83"/>
      <c r="Q55" s="83"/>
    </row>
    <row r="56" spans="1:18" ht="17.350000000000001" x14ac:dyDescent="0.5">
      <c r="A56" s="83" t="s">
        <v>104</v>
      </c>
      <c r="B56" s="89">
        <v>-2200</v>
      </c>
      <c r="C56" s="83"/>
      <c r="D56" s="83">
        <v>-3043.75</v>
      </c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18" ht="17.350000000000001" x14ac:dyDescent="0.5">
      <c r="A57" s="83" t="s">
        <v>268</v>
      </c>
      <c r="B57" s="102">
        <v>-549.99</v>
      </c>
      <c r="C57" s="83"/>
      <c r="D57" s="85">
        <v>-831.24</v>
      </c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</row>
    <row r="58" spans="1:18" ht="17.350000000000001" x14ac:dyDescent="0.5">
      <c r="A58" s="83" t="s">
        <v>171</v>
      </c>
      <c r="B58" s="101">
        <f>SUM(B55:B57)</f>
        <v>8250</v>
      </c>
      <c r="C58" s="99"/>
      <c r="D58" s="99">
        <f>SUM(D55:D57)</f>
        <v>12750.000000000002</v>
      </c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1:18" ht="17.350000000000001" x14ac:dyDescent="0.5">
      <c r="A59" s="83"/>
      <c r="B59" s="83"/>
      <c r="C59" s="83"/>
      <c r="D59" s="98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8" ht="17.7" x14ac:dyDescent="0.55000000000000004">
      <c r="A60" s="82"/>
      <c r="B60" s="101"/>
      <c r="C60" s="83"/>
      <c r="D60" s="98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1:18" ht="17.350000000000001" x14ac:dyDescent="0.5">
      <c r="A61" s="83"/>
      <c r="B61" s="89"/>
      <c r="C61" s="83"/>
      <c r="D61" s="98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</row>
    <row r="62" spans="1:18" ht="17.350000000000001" x14ac:dyDescent="0.5">
      <c r="A62" s="83"/>
      <c r="B62" s="102"/>
      <c r="C62" s="83"/>
      <c r="D62" s="98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 t="s">
        <v>279</v>
      </c>
      <c r="P62" s="83">
        <v>535</v>
      </c>
      <c r="Q62" s="83"/>
    </row>
    <row r="63" spans="1:18" ht="17.7" x14ac:dyDescent="0.55000000000000004">
      <c r="A63" s="82" t="s">
        <v>284</v>
      </c>
      <c r="B63" s="101">
        <v>5628.52</v>
      </c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 t="s">
        <v>282</v>
      </c>
      <c r="P63" s="83">
        <f>395*5</f>
        <v>1975</v>
      </c>
      <c r="Q63" s="83"/>
    </row>
    <row r="64" spans="1:18" ht="17.7" x14ac:dyDescent="0.55000000000000004">
      <c r="A64" s="83" t="s">
        <v>104</v>
      </c>
      <c r="B64" s="89">
        <v>-844.28</v>
      </c>
      <c r="C64" s="83"/>
      <c r="D64" s="83"/>
      <c r="E64" s="83"/>
      <c r="F64" s="83"/>
      <c r="G64" s="82"/>
      <c r="H64" s="83"/>
      <c r="I64" s="83"/>
      <c r="J64" s="83"/>
      <c r="K64" s="83"/>
      <c r="L64" s="83"/>
      <c r="M64" s="83"/>
      <c r="N64" s="83"/>
      <c r="O64" s="83" t="s">
        <v>280</v>
      </c>
      <c r="P64" s="83">
        <f>645*2</f>
        <v>1290</v>
      </c>
      <c r="Q64" s="83"/>
    </row>
    <row r="65" spans="1:17" ht="17.350000000000001" x14ac:dyDescent="0.5">
      <c r="A65" s="83" t="s">
        <v>103</v>
      </c>
      <c r="B65" s="91">
        <v>-284.24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 t="s">
        <v>281</v>
      </c>
      <c r="P65" s="83">
        <v>700</v>
      </c>
      <c r="Q65" s="83"/>
    </row>
    <row r="66" spans="1:17" ht="17.350000000000001" x14ac:dyDescent="0.5">
      <c r="A66" s="83" t="s">
        <v>283</v>
      </c>
      <c r="B66" s="101">
        <f>SUM(B63:B65)</f>
        <v>4500.0000000000009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>
        <f>SUM(P62:P65)</f>
        <v>4500</v>
      </c>
      <c r="Q66" s="83"/>
    </row>
    <row r="67" spans="1:17" ht="17.350000000000001" x14ac:dyDescent="0.5">
      <c r="A67" s="83"/>
      <c r="B67" s="91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</row>
    <row r="68" spans="1:17" ht="17.350000000000001" x14ac:dyDescent="0.5">
      <c r="A68" s="83"/>
      <c r="B68" s="101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1:17" ht="17.350000000000001" x14ac:dyDescent="0.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</row>
    <row r="70" spans="1:17" ht="17.350000000000001" x14ac:dyDescent="0.5">
      <c r="A70" s="83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spans="1:17" ht="17.350000000000001" x14ac:dyDescent="0.5">
      <c r="A71" s="105"/>
      <c r="B71" s="125">
        <v>44470</v>
      </c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2" spans="1:17" ht="17.7" x14ac:dyDescent="0.55000000000000004">
      <c r="A72" s="105" t="s">
        <v>70</v>
      </c>
      <c r="B72" s="88">
        <v>3803</v>
      </c>
      <c r="C72" s="126"/>
      <c r="D72" s="103">
        <f>C72*C75</f>
        <v>0</v>
      </c>
      <c r="E72" s="92"/>
      <c r="F72" s="92"/>
      <c r="G72" s="92"/>
      <c r="H72" s="92"/>
      <c r="I72" s="92"/>
      <c r="J72" s="92"/>
      <c r="K72" s="89">
        <v>150</v>
      </c>
      <c r="L72" s="89">
        <v>150</v>
      </c>
      <c r="M72" s="89">
        <v>150</v>
      </c>
      <c r="N72" s="89"/>
      <c r="O72" s="89">
        <f t="shared" ref="O72:O77" si="8">B72-SUM(D72:M72)</f>
        <v>3353</v>
      </c>
      <c r="P72" s="83"/>
      <c r="Q72" s="83"/>
    </row>
    <row r="73" spans="1:17" ht="17.7" x14ac:dyDescent="0.55000000000000004">
      <c r="A73" s="83" t="s">
        <v>288</v>
      </c>
      <c r="B73" s="88">
        <v>5725</v>
      </c>
      <c r="C73" s="126"/>
      <c r="D73" s="103">
        <f>C73*C75</f>
        <v>0</v>
      </c>
      <c r="E73" s="92"/>
      <c r="F73" s="92"/>
      <c r="G73" s="92"/>
      <c r="H73" s="92"/>
      <c r="I73" s="92"/>
      <c r="J73" s="92"/>
      <c r="K73" s="89">
        <v>300</v>
      </c>
      <c r="L73" s="89">
        <v>300</v>
      </c>
      <c r="M73" s="89">
        <v>300</v>
      </c>
      <c r="N73" s="89"/>
      <c r="O73" s="89">
        <f t="shared" si="8"/>
        <v>4825</v>
      </c>
      <c r="P73" s="83"/>
      <c r="Q73" s="83"/>
    </row>
    <row r="74" spans="1:17" ht="17.7" x14ac:dyDescent="0.55000000000000004">
      <c r="A74" s="83" t="s">
        <v>168</v>
      </c>
      <c r="B74" s="90">
        <v>13400</v>
      </c>
      <c r="C74" s="126"/>
      <c r="D74" s="103">
        <f>C74*C75</f>
        <v>0</v>
      </c>
      <c r="E74" s="92"/>
      <c r="F74" s="92"/>
      <c r="G74" s="92"/>
      <c r="H74" s="92"/>
      <c r="I74" s="92"/>
      <c r="J74" s="92"/>
      <c r="K74" s="89">
        <v>4300</v>
      </c>
      <c r="L74" s="89">
        <v>300</v>
      </c>
      <c r="M74" s="89">
        <v>300</v>
      </c>
      <c r="N74" s="89"/>
      <c r="O74" s="89">
        <f t="shared" si="8"/>
        <v>8500</v>
      </c>
      <c r="P74" s="83"/>
      <c r="Q74" s="83"/>
    </row>
    <row r="75" spans="1:17" ht="17.350000000000001" x14ac:dyDescent="0.5">
      <c r="A75" s="83" t="s">
        <v>44</v>
      </c>
      <c r="B75" s="89">
        <f>SUM(B72:B74)</f>
        <v>22928</v>
      </c>
      <c r="C75" s="88">
        <v>1400</v>
      </c>
      <c r="D75" s="98">
        <f t="shared" ref="D75:M75" si="9">SUM(D72:D74)</f>
        <v>0</v>
      </c>
      <c r="E75" s="89">
        <f t="shared" si="9"/>
        <v>0</v>
      </c>
      <c r="F75" s="89">
        <f t="shared" si="9"/>
        <v>0</v>
      </c>
      <c r="G75" s="89">
        <f t="shared" si="9"/>
        <v>0</v>
      </c>
      <c r="H75" s="89">
        <f t="shared" si="9"/>
        <v>0</v>
      </c>
      <c r="I75" s="89">
        <f t="shared" si="9"/>
        <v>0</v>
      </c>
      <c r="J75" s="89">
        <f t="shared" si="9"/>
        <v>0</v>
      </c>
      <c r="K75" s="89">
        <f t="shared" si="9"/>
        <v>4750</v>
      </c>
      <c r="L75" s="89">
        <f t="shared" si="9"/>
        <v>750</v>
      </c>
      <c r="M75" s="89">
        <f t="shared" si="9"/>
        <v>750</v>
      </c>
      <c r="N75" s="89"/>
      <c r="O75" s="89">
        <f t="shared" si="8"/>
        <v>16678</v>
      </c>
      <c r="P75" s="83"/>
      <c r="Q75" s="83"/>
    </row>
    <row r="76" spans="1:17" ht="17.7" x14ac:dyDescent="0.55000000000000004">
      <c r="A76" s="83"/>
      <c r="B76" s="88"/>
      <c r="C76" s="113"/>
      <c r="D76" s="98"/>
      <c r="E76" s="89"/>
      <c r="F76" s="83"/>
      <c r="G76" s="83"/>
      <c r="H76" s="83"/>
      <c r="I76" s="83"/>
      <c r="J76" s="83"/>
      <c r="K76" s="83"/>
      <c r="L76" s="83"/>
      <c r="M76" s="83"/>
      <c r="N76" s="83"/>
      <c r="O76" s="89">
        <f t="shared" si="8"/>
        <v>0</v>
      </c>
      <c r="P76" s="103"/>
      <c r="Q76" s="83"/>
    </row>
    <row r="77" spans="1:17" ht="17.7" x14ac:dyDescent="0.55000000000000004">
      <c r="A77" s="83"/>
      <c r="B77" s="114"/>
      <c r="C77" s="82"/>
      <c r="D77" s="98"/>
      <c r="E77" s="89"/>
      <c r="F77" s="83"/>
      <c r="G77" s="83"/>
      <c r="H77" s="83"/>
      <c r="I77" s="83"/>
      <c r="J77" s="83"/>
      <c r="K77" s="83"/>
      <c r="L77" s="83"/>
      <c r="M77" s="83"/>
      <c r="N77" s="83"/>
      <c r="O77" s="89">
        <f t="shared" si="8"/>
        <v>0</v>
      </c>
      <c r="P77" s="83"/>
      <c r="Q77" s="83"/>
    </row>
    <row r="78" spans="1:17" ht="17.7" x14ac:dyDescent="0.55000000000000004">
      <c r="A78" s="83"/>
      <c r="B78" s="89"/>
      <c r="C78" s="89">
        <f>SUM(C72:C77)</f>
        <v>1400</v>
      </c>
      <c r="D78" s="89"/>
      <c r="E78" s="89"/>
      <c r="F78" s="88"/>
      <c r="G78" s="88"/>
      <c r="H78" s="88"/>
      <c r="I78" s="88"/>
      <c r="J78" s="88"/>
      <c r="K78" s="88"/>
      <c r="L78" s="88"/>
      <c r="M78" s="88"/>
      <c r="N78" s="88"/>
      <c r="O78" s="89"/>
      <c r="P78" s="82"/>
      <c r="Q78" s="83"/>
    </row>
    <row r="79" spans="1:17" ht="17.350000000000001" x14ac:dyDescent="0.5">
      <c r="A79" s="83"/>
      <c r="B79" s="83"/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  <c r="Q79" s="83"/>
    </row>
    <row r="81" spans="1:6" ht="17.350000000000001" x14ac:dyDescent="0.5">
      <c r="A81" s="83"/>
      <c r="B81" s="83"/>
      <c r="C81" s="83"/>
      <c r="F81" s="78"/>
    </row>
    <row r="82" spans="1:6" ht="17.350000000000001" x14ac:dyDescent="0.5">
      <c r="A82" s="83"/>
      <c r="B82" s="83"/>
      <c r="C82" s="83"/>
      <c r="F82" s="78"/>
    </row>
    <row r="83" spans="1:6" ht="17.350000000000001" x14ac:dyDescent="0.5">
      <c r="A83" s="83"/>
      <c r="B83" s="83"/>
      <c r="C83" s="83"/>
      <c r="F83" s="77"/>
    </row>
    <row r="84" spans="1:6" ht="17.350000000000001" x14ac:dyDescent="0.5">
      <c r="A84" s="83"/>
      <c r="B84" s="83"/>
      <c r="C84" s="83"/>
      <c r="F84" s="77"/>
    </row>
    <row r="85" spans="1:6" ht="17.350000000000001" x14ac:dyDescent="0.5">
      <c r="A85" s="83"/>
      <c r="B85" s="83"/>
      <c r="C85" s="83"/>
    </row>
    <row r="86" spans="1:6" ht="17.350000000000001" x14ac:dyDescent="0.5">
      <c r="A86" s="83"/>
      <c r="B86" s="83"/>
      <c r="C86" s="83"/>
      <c r="D86" s="74"/>
    </row>
    <row r="87" spans="1:6" ht="17.350000000000001" x14ac:dyDescent="0.5">
      <c r="A87" s="83"/>
      <c r="B87" s="83"/>
      <c r="C87" s="83"/>
    </row>
  </sheetData>
  <pageMargins left="0.25" right="0" top="0.5" bottom="1" header="0.5" footer="0.5"/>
  <pageSetup scale="65" orientation="landscape" r:id="rId1"/>
  <headerFooter alignWithMargins="0"/>
  <rowBreaks count="1" manualBreakCount="1">
    <brk id="42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32241-3A46-4886-8B98-EF46283BE59F}">
  <dimension ref="A1:U86"/>
  <sheetViews>
    <sheetView zoomScale="70" zoomScaleNormal="70" workbookViewId="0">
      <pane ySplit="1" topLeftCell="A2" activePane="bottomLeft" state="frozen"/>
      <selection pane="bottomLeft" activeCell="F29" sqref="F29"/>
    </sheetView>
  </sheetViews>
  <sheetFormatPr defaultColWidth="9.05859375" defaultRowHeight="15" x14ac:dyDescent="0.45"/>
  <cols>
    <col min="1" max="1" width="29.87890625" style="75" customWidth="1"/>
    <col min="2" max="2" width="14.5859375" style="75" customWidth="1"/>
    <col min="3" max="3" width="13.52734375" style="75" customWidth="1"/>
    <col min="4" max="4" width="13.29296875" style="75" customWidth="1"/>
    <col min="5" max="5" width="15.41015625" style="75" customWidth="1"/>
    <col min="6" max="6" width="13.3515625" style="75" customWidth="1"/>
    <col min="7" max="7" width="12.9375" style="75" customWidth="1"/>
    <col min="8" max="8" width="15.29296875" style="75" customWidth="1"/>
    <col min="9" max="9" width="13.17578125" style="75" customWidth="1"/>
    <col min="10" max="10" width="12.46875" style="75" customWidth="1"/>
    <col min="11" max="11" width="14.87890625" style="75" customWidth="1"/>
    <col min="12" max="12" width="12.64453125" style="75" customWidth="1"/>
    <col min="13" max="13" width="12.52734375" style="75" customWidth="1"/>
    <col min="14" max="14" width="2.703125" style="75" customWidth="1"/>
    <col min="15" max="15" width="14.87890625" style="75" customWidth="1"/>
    <col min="16" max="16" width="12.1171875" style="75" customWidth="1"/>
    <col min="17" max="17" width="14.1171875" style="75" customWidth="1"/>
    <col min="18" max="18" width="13.46875" style="75" customWidth="1"/>
    <col min="19" max="16384" width="9.05859375" style="75"/>
  </cols>
  <sheetData>
    <row r="1" spans="1:17" ht="17.7" x14ac:dyDescent="0.55000000000000004">
      <c r="A1" s="82" t="s">
        <v>230</v>
      </c>
      <c r="B1" s="84" t="s">
        <v>40</v>
      </c>
      <c r="C1" s="84" t="s">
        <v>43</v>
      </c>
      <c r="D1" s="84" t="s">
        <v>50</v>
      </c>
      <c r="E1" s="84" t="s">
        <v>51</v>
      </c>
      <c r="F1" s="84" t="s">
        <v>46</v>
      </c>
      <c r="G1" s="84" t="s">
        <v>47</v>
      </c>
      <c r="H1" s="84" t="s">
        <v>0</v>
      </c>
      <c r="I1" s="84" t="s">
        <v>3</v>
      </c>
      <c r="J1" s="84" t="s">
        <v>10</v>
      </c>
      <c r="K1" s="84" t="s">
        <v>11</v>
      </c>
      <c r="L1" s="84" t="s">
        <v>12</v>
      </c>
      <c r="M1" s="84" t="s">
        <v>13</v>
      </c>
      <c r="N1" s="84"/>
      <c r="O1" s="84" t="s">
        <v>44</v>
      </c>
      <c r="P1" s="86"/>
      <c r="Q1" s="83"/>
    </row>
    <row r="2" spans="1:17" ht="17.7" x14ac:dyDescent="0.55000000000000004">
      <c r="A2" s="82" t="s">
        <v>77</v>
      </c>
      <c r="B2" s="86"/>
      <c r="C2" s="83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3"/>
    </row>
    <row r="3" spans="1:17" ht="17.350000000000001" x14ac:dyDescent="0.5">
      <c r="A3" s="83" t="s">
        <v>125</v>
      </c>
      <c r="B3" s="89">
        <v>1772.5</v>
      </c>
      <c r="C3" s="89">
        <v>1772.5</v>
      </c>
      <c r="D3" s="89">
        <v>1772.5</v>
      </c>
      <c r="E3" s="89">
        <v>1772.5</v>
      </c>
      <c r="F3" s="89">
        <v>1772.5</v>
      </c>
      <c r="G3" s="89">
        <v>1772.5</v>
      </c>
      <c r="H3" s="89">
        <v>1772.5</v>
      </c>
      <c r="I3" s="89">
        <v>1772.5</v>
      </c>
      <c r="J3" s="89">
        <v>2528.5</v>
      </c>
      <c r="K3" s="89">
        <v>2528.5</v>
      </c>
      <c r="L3" s="89">
        <v>2528.5</v>
      </c>
      <c r="M3" s="89">
        <v>2528.5</v>
      </c>
      <c r="N3" s="89" t="s">
        <v>91</v>
      </c>
      <c r="O3" s="89">
        <f>SUM(B3:M3)</f>
        <v>24294</v>
      </c>
      <c r="P3" s="89"/>
      <c r="Q3" s="89"/>
    </row>
    <row r="4" spans="1:17" ht="17.350000000000001" x14ac:dyDescent="0.5">
      <c r="A4" s="83" t="s">
        <v>126</v>
      </c>
      <c r="B4" s="89">
        <v>400</v>
      </c>
      <c r="C4" s="89">
        <v>400</v>
      </c>
      <c r="D4" s="89">
        <v>400</v>
      </c>
      <c r="E4" s="89">
        <v>400</v>
      </c>
      <c r="F4" s="89">
        <v>400</v>
      </c>
      <c r="G4" s="89">
        <v>400</v>
      </c>
      <c r="H4" s="89">
        <v>400</v>
      </c>
      <c r="I4" s="89">
        <v>400</v>
      </c>
      <c r="J4" s="89">
        <v>400</v>
      </c>
      <c r="K4" s="89">
        <v>400</v>
      </c>
      <c r="L4" s="89">
        <v>400</v>
      </c>
      <c r="M4" s="89">
        <v>400</v>
      </c>
      <c r="N4" s="89" t="s">
        <v>91</v>
      </c>
      <c r="O4" s="89">
        <f>SUM(B4:M4)</f>
        <v>4800</v>
      </c>
      <c r="P4" s="89"/>
      <c r="Q4" s="83"/>
    </row>
    <row r="5" spans="1:17" ht="17.350000000000001" x14ac:dyDescent="0.5">
      <c r="A5" s="83" t="s">
        <v>251</v>
      </c>
      <c r="B5" s="89">
        <v>625</v>
      </c>
      <c r="C5" s="89">
        <v>625</v>
      </c>
      <c r="D5" s="89"/>
      <c r="E5" s="89"/>
      <c r="F5" s="89"/>
      <c r="G5" s="89"/>
      <c r="H5" s="89"/>
      <c r="I5" s="89"/>
      <c r="J5" s="89">
        <v>400</v>
      </c>
      <c r="K5" s="89"/>
      <c r="L5" s="89"/>
      <c r="M5" s="89"/>
      <c r="N5" s="89"/>
      <c r="O5" s="89">
        <f>SUM(B5:M5)</f>
        <v>1650</v>
      </c>
      <c r="P5" s="89"/>
      <c r="Q5" s="98"/>
    </row>
    <row r="6" spans="1:17" ht="17.350000000000001" x14ac:dyDescent="0.5">
      <c r="A6" s="83" t="s">
        <v>250</v>
      </c>
      <c r="B6" s="91">
        <f>350+150+2200</f>
        <v>2700</v>
      </c>
      <c r="C6" s="91">
        <v>355</v>
      </c>
      <c r="D6" s="91">
        <v>355</v>
      </c>
      <c r="E6" s="91">
        <f>355+625.68</f>
        <v>980.68</v>
      </c>
      <c r="F6" s="91">
        <v>355</v>
      </c>
      <c r="G6" s="91">
        <v>355</v>
      </c>
      <c r="H6" s="91">
        <v>355</v>
      </c>
      <c r="I6" s="91">
        <v>355</v>
      </c>
      <c r="J6" s="91">
        <v>355</v>
      </c>
      <c r="K6" s="91">
        <v>355</v>
      </c>
      <c r="L6" s="91">
        <v>355</v>
      </c>
      <c r="M6" s="91">
        <v>400</v>
      </c>
      <c r="N6" s="91"/>
      <c r="O6" s="91">
        <f>SUM(B6:M6)</f>
        <v>7275.68</v>
      </c>
      <c r="P6" s="89"/>
      <c r="Q6" s="83"/>
    </row>
    <row r="7" spans="1:17" ht="17.350000000000001" x14ac:dyDescent="0.5">
      <c r="A7" s="83" t="s">
        <v>44</v>
      </c>
      <c r="B7" s="89">
        <f t="shared" ref="B7:K7" si="0">SUM(B3:B6)</f>
        <v>5497.5</v>
      </c>
      <c r="C7" s="89">
        <f t="shared" si="0"/>
        <v>3152.5</v>
      </c>
      <c r="D7" s="89">
        <f t="shared" si="0"/>
        <v>2527.5</v>
      </c>
      <c r="E7" s="89">
        <f t="shared" si="0"/>
        <v>3153.18</v>
      </c>
      <c r="F7" s="89">
        <f t="shared" si="0"/>
        <v>2527.5</v>
      </c>
      <c r="G7" s="89">
        <f t="shared" si="0"/>
        <v>2527.5</v>
      </c>
      <c r="H7" s="89">
        <f t="shared" si="0"/>
        <v>2527.5</v>
      </c>
      <c r="I7" s="89">
        <f t="shared" si="0"/>
        <v>2527.5</v>
      </c>
      <c r="J7" s="89">
        <f t="shared" si="0"/>
        <v>3683.5</v>
      </c>
      <c r="K7" s="89">
        <f t="shared" si="0"/>
        <v>3283.5</v>
      </c>
      <c r="L7" s="89">
        <f>SUM(L3:L6)</f>
        <v>3283.5</v>
      </c>
      <c r="M7" s="89">
        <f>SUM(M3:M6)</f>
        <v>3328.5</v>
      </c>
      <c r="N7" s="89"/>
      <c r="O7" s="89">
        <f>SUM(B7:M7)</f>
        <v>38019.68</v>
      </c>
      <c r="P7" s="89"/>
      <c r="Q7" s="89"/>
    </row>
    <row r="8" spans="1:17" ht="17.350000000000001" x14ac:dyDescent="0.5">
      <c r="A8" s="83"/>
      <c r="B8" s="116"/>
      <c r="C8" s="89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86"/>
      <c r="Q8" s="83"/>
    </row>
    <row r="9" spans="1:17" ht="17.7" x14ac:dyDescent="0.55000000000000004">
      <c r="A9" s="82" t="s">
        <v>128</v>
      </c>
      <c r="B9" s="116"/>
      <c r="C9" s="89"/>
      <c r="D9" s="116"/>
      <c r="E9" s="116"/>
      <c r="F9" s="116"/>
      <c r="G9" s="116"/>
      <c r="H9" s="116"/>
      <c r="I9" s="116"/>
      <c r="J9" s="116"/>
      <c r="K9" s="116"/>
      <c r="L9" s="116"/>
      <c r="M9" s="117"/>
      <c r="N9" s="117"/>
      <c r="O9" s="116"/>
      <c r="P9" s="86"/>
      <c r="Q9" s="83"/>
    </row>
    <row r="10" spans="1:17" ht="15.75" customHeight="1" x14ac:dyDescent="0.5">
      <c r="A10" s="83" t="s">
        <v>256</v>
      </c>
      <c r="B10" s="89">
        <v>150</v>
      </c>
      <c r="C10" s="89">
        <v>150</v>
      </c>
      <c r="D10" s="89">
        <v>150</v>
      </c>
      <c r="E10" s="89">
        <v>150</v>
      </c>
      <c r="F10" s="89">
        <v>150</v>
      </c>
      <c r="G10" s="89">
        <v>150</v>
      </c>
      <c r="H10" s="89">
        <v>150</v>
      </c>
      <c r="I10" s="89">
        <v>150</v>
      </c>
      <c r="J10" s="89">
        <v>250</v>
      </c>
      <c r="K10" s="89">
        <v>350</v>
      </c>
      <c r="L10" s="89">
        <v>300</v>
      </c>
      <c r="M10" s="89">
        <v>250</v>
      </c>
      <c r="N10" s="89"/>
      <c r="O10" s="89">
        <f t="shared" ref="O10:O22" si="1">SUM(B10:M10)</f>
        <v>2350</v>
      </c>
      <c r="P10" s="89"/>
      <c r="Q10" s="89"/>
    </row>
    <row r="11" spans="1:17" ht="17.350000000000001" x14ac:dyDescent="0.5">
      <c r="A11" s="83" t="s">
        <v>172</v>
      </c>
      <c r="B11" s="89">
        <v>625.67999999999995</v>
      </c>
      <c r="C11" s="89"/>
      <c r="D11" s="89"/>
      <c r="E11" s="89">
        <v>625.67999999999995</v>
      </c>
      <c r="F11" s="89"/>
      <c r="G11" s="89"/>
      <c r="H11" s="89">
        <v>625.67999999999995</v>
      </c>
      <c r="I11" s="89"/>
      <c r="J11" s="89"/>
      <c r="K11" s="89"/>
      <c r="L11" s="89"/>
      <c r="M11" s="89"/>
      <c r="N11" s="89"/>
      <c r="O11" s="89">
        <f t="shared" si="1"/>
        <v>1877.04</v>
      </c>
      <c r="P11" s="89"/>
      <c r="Q11" s="89"/>
    </row>
    <row r="12" spans="1:17" ht="17.350000000000001" x14ac:dyDescent="0.5">
      <c r="A12" s="83" t="s">
        <v>259</v>
      </c>
      <c r="B12" s="89">
        <v>70</v>
      </c>
      <c r="C12" s="89">
        <v>70</v>
      </c>
      <c r="D12" s="89">
        <v>75</v>
      </c>
      <c r="E12" s="89">
        <v>75</v>
      </c>
      <c r="F12" s="89">
        <v>75</v>
      </c>
      <c r="G12" s="89">
        <v>75</v>
      </c>
      <c r="H12" s="89">
        <v>75</v>
      </c>
      <c r="I12" s="89">
        <v>75</v>
      </c>
      <c r="J12" s="89">
        <v>100</v>
      </c>
      <c r="K12" s="89">
        <v>100</v>
      </c>
      <c r="L12" s="89">
        <v>150</v>
      </c>
      <c r="M12" s="89">
        <v>150</v>
      </c>
      <c r="N12" s="89"/>
      <c r="O12" s="89">
        <f t="shared" si="1"/>
        <v>1090</v>
      </c>
      <c r="P12" s="89"/>
      <c r="Q12" s="89"/>
    </row>
    <row r="13" spans="1:17" ht="17.350000000000001" x14ac:dyDescent="0.5">
      <c r="A13" s="83" t="s">
        <v>258</v>
      </c>
      <c r="B13" s="89"/>
      <c r="C13" s="89"/>
      <c r="D13" s="89"/>
      <c r="E13" s="89">
        <v>55</v>
      </c>
      <c r="F13" s="89">
        <v>55</v>
      </c>
      <c r="G13" s="89">
        <v>55</v>
      </c>
      <c r="H13" s="89">
        <v>55</v>
      </c>
      <c r="I13" s="89">
        <v>55</v>
      </c>
      <c r="J13" s="89">
        <v>55</v>
      </c>
      <c r="K13" s="89">
        <v>55</v>
      </c>
      <c r="L13" s="89">
        <v>55</v>
      </c>
      <c r="M13" s="89">
        <v>55</v>
      </c>
      <c r="N13" s="89"/>
      <c r="O13" s="89">
        <f t="shared" si="1"/>
        <v>495</v>
      </c>
      <c r="P13" s="89"/>
      <c r="Q13" s="89"/>
    </row>
    <row r="14" spans="1:17" ht="20.350000000000001" customHeight="1" x14ac:dyDescent="0.55000000000000004">
      <c r="A14" s="83" t="s">
        <v>257</v>
      </c>
      <c r="B14" s="89">
        <v>300</v>
      </c>
      <c r="C14" s="89">
        <v>300</v>
      </c>
      <c r="D14" s="89">
        <v>300</v>
      </c>
      <c r="E14" s="89">
        <v>300</v>
      </c>
      <c r="F14" s="89">
        <v>300</v>
      </c>
      <c r="G14" s="89">
        <v>300</v>
      </c>
      <c r="H14" s="89">
        <v>300</v>
      </c>
      <c r="I14" s="89">
        <v>300</v>
      </c>
      <c r="J14" s="89">
        <v>700</v>
      </c>
      <c r="K14" s="89">
        <v>200</v>
      </c>
      <c r="L14" s="89">
        <v>300</v>
      </c>
      <c r="M14" s="89">
        <v>300</v>
      </c>
      <c r="N14" s="89"/>
      <c r="O14" s="89">
        <f t="shared" si="1"/>
        <v>3900</v>
      </c>
      <c r="P14" s="89"/>
      <c r="Q14" s="92"/>
    </row>
    <row r="15" spans="1:17" ht="20.350000000000001" customHeight="1" x14ac:dyDescent="0.55000000000000004">
      <c r="A15" s="83" t="s">
        <v>252</v>
      </c>
      <c r="B15" s="89">
        <v>35</v>
      </c>
      <c r="C15" s="89">
        <v>65</v>
      </c>
      <c r="D15" s="89">
        <v>50</v>
      </c>
      <c r="E15" s="89">
        <v>55</v>
      </c>
      <c r="F15" s="89">
        <v>55</v>
      </c>
      <c r="G15" s="89">
        <v>55</v>
      </c>
      <c r="H15" s="89">
        <v>55</v>
      </c>
      <c r="I15" s="89">
        <v>24</v>
      </c>
      <c r="J15" s="89"/>
      <c r="K15" s="89"/>
      <c r="L15" s="89"/>
      <c r="M15" s="89"/>
      <c r="N15" s="89"/>
      <c r="O15" s="89">
        <f t="shared" si="1"/>
        <v>394</v>
      </c>
      <c r="P15" s="92"/>
      <c r="Q15" s="92"/>
    </row>
    <row r="16" spans="1:17" ht="19.7" customHeight="1" x14ac:dyDescent="0.5">
      <c r="A16" s="83" t="s">
        <v>88</v>
      </c>
      <c r="B16" s="114">
        <v>355</v>
      </c>
      <c r="C16" s="114">
        <v>355</v>
      </c>
      <c r="D16" s="114">
        <v>355</v>
      </c>
      <c r="E16" s="114">
        <v>355</v>
      </c>
      <c r="F16" s="114">
        <v>355</v>
      </c>
      <c r="G16" s="114">
        <v>355</v>
      </c>
      <c r="H16" s="114">
        <v>355</v>
      </c>
      <c r="I16" s="114">
        <v>355</v>
      </c>
      <c r="J16" s="114">
        <v>355</v>
      </c>
      <c r="K16" s="114">
        <v>355</v>
      </c>
      <c r="L16" s="114">
        <v>355</v>
      </c>
      <c r="M16" s="114">
        <v>400</v>
      </c>
      <c r="N16" s="114"/>
      <c r="O16" s="114">
        <f t="shared" si="1"/>
        <v>4305</v>
      </c>
      <c r="P16" s="114"/>
      <c r="Q16" s="114"/>
    </row>
    <row r="17" spans="1:21" ht="19.7" customHeight="1" x14ac:dyDescent="0.55000000000000004">
      <c r="A17" s="83" t="s">
        <v>228</v>
      </c>
      <c r="B17" s="89">
        <v>647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92"/>
      <c r="N17" s="92"/>
      <c r="O17" s="89">
        <f t="shared" si="1"/>
        <v>647</v>
      </c>
      <c r="P17" s="89"/>
      <c r="Q17" s="89"/>
    </row>
    <row r="18" spans="1:21" ht="17.350000000000001" x14ac:dyDescent="0.5">
      <c r="A18" s="83" t="s">
        <v>235</v>
      </c>
      <c r="B18" s="89">
        <v>96.93</v>
      </c>
      <c r="C18" s="89">
        <v>96.93</v>
      </c>
      <c r="D18" s="89">
        <v>127.78</v>
      </c>
      <c r="E18" s="89">
        <v>0</v>
      </c>
      <c r="F18" s="89">
        <v>0</v>
      </c>
      <c r="G18" s="89">
        <v>0</v>
      </c>
      <c r="H18" s="89">
        <v>0</v>
      </c>
      <c r="I18" s="89">
        <v>0</v>
      </c>
      <c r="J18" s="89">
        <v>0</v>
      </c>
      <c r="K18" s="89">
        <v>8</v>
      </c>
      <c r="L18" s="89">
        <v>8</v>
      </c>
      <c r="M18" s="89">
        <v>35</v>
      </c>
      <c r="N18" s="89"/>
      <c r="O18" s="89">
        <f t="shared" si="1"/>
        <v>372.64</v>
      </c>
      <c r="P18" s="89"/>
      <c r="Q18" s="89"/>
    </row>
    <row r="19" spans="1:21" ht="17.350000000000001" x14ac:dyDescent="0.5">
      <c r="A19" s="83" t="s">
        <v>211</v>
      </c>
      <c r="B19" s="89">
        <v>72.459999999999994</v>
      </c>
      <c r="C19" s="89">
        <v>81.33</v>
      </c>
      <c r="D19" s="89">
        <v>66.41</v>
      </c>
      <c r="E19" s="89">
        <v>34.21</v>
      </c>
      <c r="F19" s="89">
        <v>31.93</v>
      </c>
      <c r="G19" s="89">
        <v>30.74</v>
      </c>
      <c r="H19" s="89">
        <v>36.61</v>
      </c>
      <c r="I19" s="89">
        <v>37.630000000000003</v>
      </c>
      <c r="J19" s="89">
        <v>39.159999999999997</v>
      </c>
      <c r="K19" s="89">
        <v>32.46</v>
      </c>
      <c r="L19" s="89">
        <v>30</v>
      </c>
      <c r="M19" s="89">
        <v>30</v>
      </c>
      <c r="N19" s="89"/>
      <c r="O19" s="89">
        <f t="shared" si="1"/>
        <v>522.94000000000005</v>
      </c>
      <c r="P19" s="89"/>
      <c r="Q19" s="118"/>
    </row>
    <row r="20" spans="1:21" ht="18.350000000000001" customHeight="1" x14ac:dyDescent="0.5">
      <c r="A20" s="83" t="s">
        <v>217</v>
      </c>
      <c r="B20" s="114">
        <v>318</v>
      </c>
      <c r="C20" s="114">
        <v>318</v>
      </c>
      <c r="D20" s="114">
        <v>318</v>
      </c>
      <c r="E20" s="114">
        <v>318</v>
      </c>
      <c r="F20" s="114">
        <v>318</v>
      </c>
      <c r="G20" s="114">
        <v>318</v>
      </c>
      <c r="H20" s="114">
        <v>318</v>
      </c>
      <c r="I20" s="114">
        <v>318</v>
      </c>
      <c r="J20" s="114">
        <v>318</v>
      </c>
      <c r="K20" s="114">
        <v>318</v>
      </c>
      <c r="L20" s="114">
        <v>318</v>
      </c>
      <c r="M20" s="114">
        <v>318</v>
      </c>
      <c r="N20" s="114"/>
      <c r="O20" s="114">
        <f t="shared" si="1"/>
        <v>3816</v>
      </c>
      <c r="P20" s="114"/>
      <c r="Q20" s="114"/>
    </row>
    <row r="21" spans="1:21" ht="18.350000000000001" customHeight="1" x14ac:dyDescent="0.55000000000000004">
      <c r="A21" s="83" t="s">
        <v>239</v>
      </c>
      <c r="B21" s="89">
        <v>30</v>
      </c>
      <c r="C21" s="89">
        <v>30</v>
      </c>
      <c r="D21" s="89">
        <v>30</v>
      </c>
      <c r="E21" s="89">
        <v>50</v>
      </c>
      <c r="F21" s="89">
        <v>30</v>
      </c>
      <c r="G21" s="89">
        <v>30</v>
      </c>
      <c r="H21" s="89">
        <v>30</v>
      </c>
      <c r="I21" s="89">
        <v>30</v>
      </c>
      <c r="J21" s="89">
        <v>44</v>
      </c>
      <c r="K21" s="89">
        <v>30</v>
      </c>
      <c r="L21" s="89">
        <v>30</v>
      </c>
      <c r="M21" s="89">
        <v>30</v>
      </c>
      <c r="N21" s="89"/>
      <c r="O21" s="89">
        <f t="shared" si="1"/>
        <v>394</v>
      </c>
      <c r="P21" s="92"/>
      <c r="Q21" s="89"/>
    </row>
    <row r="22" spans="1:21" ht="15" customHeight="1" x14ac:dyDescent="0.55000000000000004">
      <c r="A22" s="83" t="s">
        <v>260</v>
      </c>
      <c r="B22" s="89">
        <v>30</v>
      </c>
      <c r="C22" s="89">
        <v>30</v>
      </c>
      <c r="D22" s="89">
        <v>25</v>
      </c>
      <c r="E22" s="89">
        <v>40</v>
      </c>
      <c r="F22" s="89">
        <v>40</v>
      </c>
      <c r="G22" s="89">
        <v>40</v>
      </c>
      <c r="H22" s="89">
        <v>40</v>
      </c>
      <c r="I22" s="89">
        <v>50</v>
      </c>
      <c r="J22" s="89">
        <v>50</v>
      </c>
      <c r="K22" s="89">
        <v>40</v>
      </c>
      <c r="L22" s="89">
        <v>40</v>
      </c>
      <c r="M22" s="89">
        <v>40</v>
      </c>
      <c r="N22" s="89"/>
      <c r="O22" s="89">
        <f t="shared" si="1"/>
        <v>465</v>
      </c>
      <c r="P22" s="92"/>
      <c r="Q22" s="89"/>
    </row>
    <row r="23" spans="1:21" ht="15" customHeight="1" x14ac:dyDescent="0.5">
      <c r="A23" s="83" t="s">
        <v>163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21" ht="17.350000000000001" x14ac:dyDescent="0.5">
      <c r="A24" s="83" t="s">
        <v>238</v>
      </c>
      <c r="B24" s="89">
        <v>68.08</v>
      </c>
      <c r="C24" s="93">
        <v>49.58</v>
      </c>
      <c r="D24" s="89">
        <v>76.040000000000006</v>
      </c>
      <c r="E24" s="89">
        <v>146.09</v>
      </c>
      <c r="F24" s="89">
        <v>145.34</v>
      </c>
      <c r="G24" s="89">
        <v>139.43</v>
      </c>
      <c r="H24" s="89">
        <v>191.76</v>
      </c>
      <c r="I24" s="89">
        <v>223.98</v>
      </c>
      <c r="J24" s="89">
        <v>185.33</v>
      </c>
      <c r="K24" s="89">
        <v>155.47</v>
      </c>
      <c r="L24" s="89">
        <v>160</v>
      </c>
      <c r="M24" s="89">
        <v>160</v>
      </c>
      <c r="N24" s="89"/>
      <c r="O24" s="89">
        <f t="shared" ref="O24:O31" si="2">SUM(B24:M24)</f>
        <v>1701.1</v>
      </c>
      <c r="P24" s="89"/>
      <c r="Q24" s="89"/>
    </row>
    <row r="25" spans="1:21" ht="17.350000000000001" x14ac:dyDescent="0.5">
      <c r="A25" s="83" t="s">
        <v>227</v>
      </c>
      <c r="B25" s="89">
        <v>315</v>
      </c>
      <c r="C25" s="89">
        <v>318.39999999999998</v>
      </c>
      <c r="D25" s="89"/>
      <c r="E25" s="89"/>
      <c r="F25" s="89">
        <v>0</v>
      </c>
      <c r="G25" s="89"/>
      <c r="H25" s="89"/>
      <c r="I25" s="89">
        <v>200</v>
      </c>
      <c r="J25" s="89">
        <v>200</v>
      </c>
      <c r="K25" s="89">
        <v>200</v>
      </c>
      <c r="L25" s="89">
        <v>200</v>
      </c>
      <c r="M25" s="89">
        <v>200</v>
      </c>
      <c r="N25" s="89"/>
      <c r="O25" s="89">
        <f t="shared" si="2"/>
        <v>1633.4</v>
      </c>
      <c r="P25" s="89"/>
      <c r="Q25" s="89"/>
    </row>
    <row r="26" spans="1:21" ht="17.7" x14ac:dyDescent="0.55000000000000004">
      <c r="A26" s="83" t="s">
        <v>240</v>
      </c>
      <c r="B26" s="89">
        <v>50</v>
      </c>
      <c r="C26" s="89">
        <v>46</v>
      </c>
      <c r="D26" s="89"/>
      <c r="E26" s="89"/>
      <c r="F26" s="92">
        <v>0</v>
      </c>
      <c r="G26" s="89"/>
      <c r="H26" s="89">
        <v>50</v>
      </c>
      <c r="I26" s="89">
        <v>50</v>
      </c>
      <c r="J26" s="89">
        <v>50</v>
      </c>
      <c r="K26" s="89">
        <v>32</v>
      </c>
      <c r="L26" s="89"/>
      <c r="M26" s="89"/>
      <c r="N26" s="89"/>
      <c r="O26" s="89">
        <f t="shared" si="2"/>
        <v>278</v>
      </c>
      <c r="P26" s="89"/>
      <c r="Q26" s="89"/>
    </row>
    <row r="27" spans="1:21" ht="17.7" x14ac:dyDescent="0.55000000000000004">
      <c r="A27" s="83" t="s">
        <v>208</v>
      </c>
      <c r="B27" s="89"/>
      <c r="C27" s="89"/>
      <c r="D27" s="89"/>
      <c r="E27" s="89"/>
      <c r="F27" s="92"/>
      <c r="G27" s="89"/>
      <c r="H27" s="89"/>
      <c r="I27" s="89"/>
      <c r="J27" s="89"/>
      <c r="K27" s="92"/>
      <c r="L27" s="89"/>
      <c r="M27" s="89"/>
      <c r="N27" s="89"/>
      <c r="O27" s="89">
        <f t="shared" si="2"/>
        <v>0</v>
      </c>
      <c r="P27" s="89"/>
      <c r="Q27" s="92"/>
    </row>
    <row r="28" spans="1:21" ht="17.350000000000001" x14ac:dyDescent="0.5">
      <c r="A28" s="83" t="s">
        <v>237</v>
      </c>
      <c r="B28" s="89">
        <v>152.26</v>
      </c>
      <c r="C28" s="89"/>
      <c r="D28" s="89">
        <v>180.62</v>
      </c>
      <c r="E28" s="89">
        <v>181.67</v>
      </c>
      <c r="F28" s="89">
        <v>181.35</v>
      </c>
      <c r="G28" s="89">
        <v>175.05</v>
      </c>
      <c r="H28" s="89">
        <v>175.05</v>
      </c>
      <c r="I28" s="89">
        <v>206.97</v>
      </c>
      <c r="J28" s="89">
        <v>147.66</v>
      </c>
      <c r="K28" s="89">
        <v>169.07</v>
      </c>
      <c r="L28" s="89">
        <v>169.19</v>
      </c>
      <c r="M28" s="89">
        <v>169.2</v>
      </c>
      <c r="N28" s="89"/>
      <c r="O28" s="89">
        <f t="shared" si="2"/>
        <v>1908.0900000000001</v>
      </c>
      <c r="P28" s="89"/>
      <c r="Q28" s="89"/>
      <c r="R28" s="74"/>
      <c r="U28" s="74"/>
    </row>
    <row r="29" spans="1:21" ht="17.350000000000001" x14ac:dyDescent="0.5">
      <c r="A29" s="83" t="s">
        <v>236</v>
      </c>
      <c r="B29" s="89">
        <v>91.81</v>
      </c>
      <c r="C29" s="89">
        <v>91.81</v>
      </c>
      <c r="D29" s="89">
        <v>61.08</v>
      </c>
      <c r="E29" s="89">
        <v>65.52</v>
      </c>
      <c r="F29" s="89">
        <v>65.44</v>
      </c>
      <c r="G29" s="89">
        <v>65.52</v>
      </c>
      <c r="H29" s="89">
        <v>65.88</v>
      </c>
      <c r="I29" s="89">
        <v>65.88</v>
      </c>
      <c r="J29" s="89">
        <v>64.55</v>
      </c>
      <c r="K29" s="89">
        <v>50.01</v>
      </c>
      <c r="L29" s="89">
        <v>53.51</v>
      </c>
      <c r="M29" s="89">
        <v>53.51</v>
      </c>
      <c r="N29" s="89"/>
      <c r="O29" s="89">
        <f t="shared" si="2"/>
        <v>794.51999999999987</v>
      </c>
      <c r="P29" s="89"/>
      <c r="Q29" s="89"/>
      <c r="R29" s="74"/>
    </row>
    <row r="30" spans="1:21" ht="17.350000000000001" x14ac:dyDescent="0.5">
      <c r="A30" s="83" t="s">
        <v>178</v>
      </c>
      <c r="B30" s="89">
        <v>392</v>
      </c>
      <c r="C30" s="89"/>
      <c r="D30" s="89"/>
      <c r="E30" s="89"/>
      <c r="F30" s="89">
        <v>0</v>
      </c>
      <c r="G30" s="89"/>
      <c r="H30" s="89"/>
      <c r="I30" s="89"/>
      <c r="J30" s="89"/>
      <c r="K30" s="89"/>
      <c r="L30" s="89"/>
      <c r="M30" s="89"/>
      <c r="N30" s="89"/>
      <c r="O30" s="89">
        <f t="shared" si="2"/>
        <v>392</v>
      </c>
      <c r="P30" s="89"/>
      <c r="Q30" s="89"/>
    </row>
    <row r="31" spans="1:21" ht="17.350000000000001" x14ac:dyDescent="0.5">
      <c r="A31" s="83" t="s">
        <v>29</v>
      </c>
      <c r="B31" s="91">
        <v>585</v>
      </c>
      <c r="C31" s="91">
        <v>585</v>
      </c>
      <c r="D31" s="91">
        <v>585</v>
      </c>
      <c r="E31" s="91">
        <v>585</v>
      </c>
      <c r="F31" s="91">
        <v>585</v>
      </c>
      <c r="G31" s="91">
        <v>585</v>
      </c>
      <c r="H31" s="91">
        <v>585</v>
      </c>
      <c r="I31" s="91">
        <v>585</v>
      </c>
      <c r="J31" s="91">
        <v>585</v>
      </c>
      <c r="K31" s="91">
        <v>585</v>
      </c>
      <c r="L31" s="91">
        <v>585</v>
      </c>
      <c r="M31" s="91">
        <v>585</v>
      </c>
      <c r="N31" s="91"/>
      <c r="O31" s="91">
        <f t="shared" si="2"/>
        <v>7020</v>
      </c>
      <c r="P31" s="89"/>
      <c r="Q31" s="91"/>
    </row>
    <row r="32" spans="1:21" s="104" customFormat="1" ht="17.7" x14ac:dyDescent="0.55000000000000004">
      <c r="A32" s="92"/>
      <c r="B32" s="89">
        <f>SUM(B10:B31)</f>
        <v>4384.2199999999993</v>
      </c>
      <c r="C32" s="89">
        <f>SUM(C10:C31)</f>
        <v>2587.0499999999997</v>
      </c>
      <c r="D32" s="89">
        <f t="shared" ref="D32:O32" si="3">SUM(D10:D31)</f>
        <v>2399.9299999999998</v>
      </c>
      <c r="E32" s="89">
        <f t="shared" si="3"/>
        <v>3036.17</v>
      </c>
      <c r="F32" s="89">
        <f t="shared" si="3"/>
        <v>2387.0599999999995</v>
      </c>
      <c r="G32" s="89">
        <f t="shared" si="3"/>
        <v>2373.7399999999998</v>
      </c>
      <c r="H32" s="89">
        <f t="shared" si="3"/>
        <v>3107.98</v>
      </c>
      <c r="I32" s="89">
        <f t="shared" si="3"/>
        <v>2726.46</v>
      </c>
      <c r="J32" s="89">
        <f t="shared" si="3"/>
        <v>3143.7000000000003</v>
      </c>
      <c r="K32" s="89">
        <f t="shared" si="3"/>
        <v>2680.01</v>
      </c>
      <c r="L32" s="89">
        <f t="shared" si="3"/>
        <v>2753.7000000000003</v>
      </c>
      <c r="M32" s="89">
        <f t="shared" si="3"/>
        <v>2775.71</v>
      </c>
      <c r="N32" s="89"/>
      <c r="O32" s="89">
        <f t="shared" si="3"/>
        <v>34355.730000000003</v>
      </c>
      <c r="P32" s="89"/>
      <c r="Q32" s="89">
        <f>SUM(Q10:Q31)</f>
        <v>0</v>
      </c>
      <c r="R32" s="104">
        <f>Q7-Q32</f>
        <v>0</v>
      </c>
    </row>
    <row r="33" spans="1:19" ht="17.7" x14ac:dyDescent="0.55000000000000004">
      <c r="A33" s="83" t="s">
        <v>129</v>
      </c>
      <c r="B33" s="89"/>
      <c r="C33" s="89"/>
      <c r="D33" s="89"/>
      <c r="E33" s="89"/>
      <c r="F33" s="89"/>
      <c r="G33" s="92"/>
      <c r="H33" s="92"/>
      <c r="I33" s="92"/>
      <c r="J33" s="92"/>
      <c r="K33" s="92"/>
      <c r="L33" s="92"/>
      <c r="M33" s="92"/>
      <c r="N33" s="92"/>
      <c r="O33" s="89"/>
      <c r="P33" s="83"/>
      <c r="Q33" s="82"/>
    </row>
    <row r="34" spans="1:19" ht="17.350000000000001" x14ac:dyDescent="0.5">
      <c r="A34" s="83" t="s">
        <v>87</v>
      </c>
      <c r="B34" s="93">
        <v>100</v>
      </c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89">
        <f>SUM(B34:M34)</f>
        <v>100</v>
      </c>
      <c r="P34" s="89"/>
      <c r="Q34" s="93"/>
    </row>
    <row r="35" spans="1:19" ht="17.350000000000001" x14ac:dyDescent="0.5">
      <c r="A35" s="83" t="s">
        <v>33</v>
      </c>
      <c r="B35" s="93">
        <v>300</v>
      </c>
      <c r="C35" s="93">
        <v>300</v>
      </c>
      <c r="D35" s="93">
        <v>400</v>
      </c>
      <c r="E35" s="93">
        <v>400</v>
      </c>
      <c r="F35" s="93">
        <v>400</v>
      </c>
      <c r="G35" s="93">
        <v>400</v>
      </c>
      <c r="H35" s="93">
        <v>400</v>
      </c>
      <c r="I35" s="93">
        <v>100</v>
      </c>
      <c r="J35" s="93">
        <v>250</v>
      </c>
      <c r="K35" s="93">
        <v>250</v>
      </c>
      <c r="L35" s="93">
        <v>250</v>
      </c>
      <c r="M35" s="93">
        <v>250</v>
      </c>
      <c r="N35" s="93"/>
      <c r="O35" s="89">
        <f>SUM(B35:M35)</f>
        <v>3700</v>
      </c>
      <c r="P35" s="89"/>
      <c r="Q35" s="95"/>
      <c r="S35" s="74"/>
    </row>
    <row r="36" spans="1:19" ht="17.350000000000001" x14ac:dyDescent="0.5">
      <c r="A36" s="83" t="s">
        <v>34</v>
      </c>
      <c r="B36" s="96">
        <v>120</v>
      </c>
      <c r="C36" s="96">
        <v>120</v>
      </c>
      <c r="D36" s="96">
        <v>120</v>
      </c>
      <c r="E36" s="96">
        <v>120</v>
      </c>
      <c r="F36" s="91">
        <v>120</v>
      </c>
      <c r="G36" s="91">
        <v>120</v>
      </c>
      <c r="H36" s="91">
        <v>75</v>
      </c>
      <c r="I36" s="91">
        <v>120</v>
      </c>
      <c r="J36" s="91">
        <v>100</v>
      </c>
      <c r="K36" s="91">
        <v>120</v>
      </c>
      <c r="L36" s="91">
        <v>120</v>
      </c>
      <c r="M36" s="91">
        <v>120</v>
      </c>
      <c r="N36" s="91"/>
      <c r="O36" s="91">
        <f>SUM(B36:M36)</f>
        <v>1375</v>
      </c>
      <c r="P36" s="89"/>
      <c r="Q36" s="90"/>
    </row>
    <row r="37" spans="1:19" s="115" customFormat="1" ht="17.350000000000001" x14ac:dyDescent="0.5">
      <c r="A37" s="94"/>
      <c r="B37" s="89">
        <f>SUM(B34:B36)</f>
        <v>520</v>
      </c>
      <c r="C37" s="89">
        <f t="shared" ref="C37:M37" si="4">SUM(C34:C36)</f>
        <v>420</v>
      </c>
      <c r="D37" s="89">
        <f t="shared" si="4"/>
        <v>520</v>
      </c>
      <c r="E37" s="89">
        <f t="shared" si="4"/>
        <v>520</v>
      </c>
      <c r="F37" s="89">
        <f t="shared" si="4"/>
        <v>520</v>
      </c>
      <c r="G37" s="89">
        <f t="shared" si="4"/>
        <v>520</v>
      </c>
      <c r="H37" s="89">
        <f t="shared" si="4"/>
        <v>475</v>
      </c>
      <c r="I37" s="89">
        <f t="shared" si="4"/>
        <v>220</v>
      </c>
      <c r="J37" s="89">
        <f t="shared" si="4"/>
        <v>350</v>
      </c>
      <c r="K37" s="89">
        <f t="shared" si="4"/>
        <v>370</v>
      </c>
      <c r="L37" s="89">
        <f t="shared" si="4"/>
        <v>370</v>
      </c>
      <c r="M37" s="89">
        <f t="shared" si="4"/>
        <v>370</v>
      </c>
      <c r="N37" s="89"/>
      <c r="O37" s="89">
        <f>O32+SUM(O34:O36)</f>
        <v>39530.730000000003</v>
      </c>
      <c r="P37" s="94"/>
      <c r="Q37" s="94">
        <f>SUM(Q34:Q36)</f>
        <v>0</v>
      </c>
    </row>
    <row r="38" spans="1:19" ht="17.350000000000001" x14ac:dyDescent="0.5">
      <c r="A38" s="83" t="s">
        <v>130</v>
      </c>
      <c r="B38" s="89">
        <f>B32+B37</f>
        <v>4904.2199999999993</v>
      </c>
      <c r="C38" s="89">
        <f t="shared" ref="C38:M38" si="5">C32+C37</f>
        <v>3007.0499999999997</v>
      </c>
      <c r="D38" s="89">
        <f t="shared" si="5"/>
        <v>2919.93</v>
      </c>
      <c r="E38" s="89">
        <f t="shared" si="5"/>
        <v>3556.17</v>
      </c>
      <c r="F38" s="89">
        <f t="shared" si="5"/>
        <v>2907.0599999999995</v>
      </c>
      <c r="G38" s="89">
        <f t="shared" si="5"/>
        <v>2893.74</v>
      </c>
      <c r="H38" s="89">
        <f t="shared" si="5"/>
        <v>3582.98</v>
      </c>
      <c r="I38" s="89">
        <f t="shared" si="5"/>
        <v>2946.46</v>
      </c>
      <c r="J38" s="89">
        <f t="shared" si="5"/>
        <v>3493.7000000000003</v>
      </c>
      <c r="K38" s="89">
        <f t="shared" si="5"/>
        <v>3050.01</v>
      </c>
      <c r="L38" s="89">
        <f t="shared" si="5"/>
        <v>3123.7000000000003</v>
      </c>
      <c r="M38" s="89">
        <f t="shared" si="5"/>
        <v>3145.71</v>
      </c>
      <c r="N38" s="89"/>
      <c r="O38" s="89">
        <f>SUM(B38:M38)</f>
        <v>39530.729999999996</v>
      </c>
      <c r="P38" s="89"/>
      <c r="Q38" s="88"/>
      <c r="S38" s="74"/>
    </row>
    <row r="39" spans="1:19" ht="17.7" x14ac:dyDescent="0.55000000000000004">
      <c r="A39" s="82"/>
      <c r="B39" s="89">
        <f>B7-B38</f>
        <v>593.28000000000065</v>
      </c>
      <c r="C39" s="89">
        <f>C7-C38</f>
        <v>145.45000000000027</v>
      </c>
      <c r="D39" s="89">
        <f t="shared" ref="D39:M39" si="6">D7-D38</f>
        <v>-392.42999999999984</v>
      </c>
      <c r="E39" s="89">
        <f t="shared" si="6"/>
        <v>-402.99000000000024</v>
      </c>
      <c r="F39" s="89">
        <f t="shared" si="6"/>
        <v>-379.55999999999949</v>
      </c>
      <c r="G39" s="89">
        <f t="shared" si="6"/>
        <v>-366.23999999999978</v>
      </c>
      <c r="H39" s="89">
        <f t="shared" si="6"/>
        <v>-1055.48</v>
      </c>
      <c r="I39" s="89">
        <f t="shared" si="6"/>
        <v>-418.96000000000004</v>
      </c>
      <c r="J39" s="89">
        <f t="shared" si="6"/>
        <v>189.79999999999973</v>
      </c>
      <c r="K39" s="89">
        <f t="shared" si="6"/>
        <v>233.48999999999978</v>
      </c>
      <c r="L39" s="89">
        <f t="shared" si="6"/>
        <v>159.79999999999973</v>
      </c>
      <c r="M39" s="89">
        <f t="shared" si="6"/>
        <v>182.78999999999996</v>
      </c>
      <c r="N39" s="89"/>
      <c r="O39" s="89">
        <f>SUM(B39:M39)</f>
        <v>-1511.0499999999993</v>
      </c>
      <c r="P39" s="89"/>
      <c r="Q39" s="99"/>
      <c r="S39" s="74"/>
    </row>
    <row r="40" spans="1:19" ht="17.7" x14ac:dyDescent="0.55000000000000004">
      <c r="A40" s="82"/>
      <c r="B40" s="89"/>
      <c r="C40" s="89"/>
      <c r="D40" s="89"/>
      <c r="E40" s="89"/>
      <c r="F40" s="89"/>
      <c r="G40" s="89"/>
      <c r="H40" s="89"/>
      <c r="I40" s="89"/>
      <c r="J40" s="89"/>
      <c r="K40" s="89"/>
      <c r="L40" s="89"/>
      <c r="M40" s="89"/>
      <c r="N40" s="89"/>
      <c r="O40" s="89"/>
      <c r="P40" s="89"/>
      <c r="Q40" s="99"/>
      <c r="S40" s="74"/>
    </row>
    <row r="41" spans="1:19" ht="17.7" x14ac:dyDescent="0.55000000000000004">
      <c r="A41" s="82"/>
      <c r="B41" s="8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89"/>
      <c r="P41" s="89"/>
      <c r="Q41" s="99"/>
      <c r="S41" s="74"/>
    </row>
    <row r="42" spans="1:19" ht="17.7" x14ac:dyDescent="0.55000000000000004">
      <c r="A42" s="83"/>
      <c r="B42" s="83"/>
      <c r="C42" s="83"/>
      <c r="D42" s="83"/>
      <c r="E42" s="83"/>
      <c r="F42" s="83"/>
      <c r="G42" s="83"/>
      <c r="H42" s="82"/>
      <c r="I42" s="82"/>
      <c r="J42" s="83"/>
      <c r="K42" s="83"/>
      <c r="L42" s="83"/>
      <c r="M42" s="83"/>
      <c r="N42" s="83"/>
      <c r="O42" s="83"/>
      <c r="P42" s="83"/>
      <c r="Q42" s="88"/>
    </row>
    <row r="43" spans="1:19" ht="17.7" x14ac:dyDescent="0.55000000000000004">
      <c r="A43" s="83" t="s">
        <v>261</v>
      </c>
      <c r="B43" s="83"/>
      <c r="C43" s="99"/>
      <c r="D43" s="98"/>
      <c r="E43" s="83"/>
      <c r="F43" s="83"/>
      <c r="G43" s="98"/>
      <c r="H43" s="83"/>
      <c r="I43" s="83"/>
      <c r="J43" s="100"/>
      <c r="K43" s="82"/>
      <c r="L43" s="83"/>
      <c r="M43" s="83"/>
      <c r="N43" s="83"/>
      <c r="O43" s="83"/>
      <c r="P43" s="83"/>
      <c r="Q43" s="83"/>
    </row>
    <row r="44" spans="1:19" ht="17.350000000000001" x14ac:dyDescent="0.5">
      <c r="A44" s="83" t="s">
        <v>262</v>
      </c>
      <c r="B44" s="83"/>
      <c r="C44" s="83"/>
      <c r="D44" s="83"/>
      <c r="E44" s="83"/>
      <c r="F44" s="83"/>
      <c r="G44" s="83"/>
      <c r="H44" s="83"/>
      <c r="I44" s="83"/>
      <c r="J44" s="99"/>
      <c r="K44" s="83"/>
      <c r="L44" s="83"/>
      <c r="M44" s="83"/>
      <c r="N44" s="83"/>
      <c r="O44" s="83"/>
      <c r="P44" s="83"/>
      <c r="Q44" s="83"/>
      <c r="R44" s="79"/>
    </row>
    <row r="45" spans="1:19" ht="17.7" x14ac:dyDescent="0.55000000000000004">
      <c r="A45" s="83" t="s">
        <v>263</v>
      </c>
      <c r="B45" s="83"/>
      <c r="C45" s="83"/>
      <c r="D45" s="83"/>
      <c r="E45" s="83"/>
      <c r="F45" s="83"/>
      <c r="G45" s="99"/>
      <c r="H45" s="99"/>
      <c r="I45" s="99"/>
      <c r="J45" s="83"/>
      <c r="K45" s="83"/>
      <c r="L45" s="83"/>
      <c r="M45" s="83"/>
      <c r="N45" s="83"/>
      <c r="O45" s="83"/>
      <c r="P45" s="83"/>
      <c r="Q45" s="82"/>
      <c r="R45" s="79"/>
    </row>
    <row r="46" spans="1:19" ht="17.7" x14ac:dyDescent="0.55000000000000004">
      <c r="A46" s="83" t="s">
        <v>264</v>
      </c>
      <c r="B46" s="83"/>
      <c r="C46" s="83"/>
      <c r="D46" s="83"/>
      <c r="E46" s="83"/>
      <c r="F46" s="83"/>
      <c r="G46" s="83"/>
      <c r="H46" s="83"/>
      <c r="I46" s="82"/>
      <c r="J46" s="83"/>
      <c r="K46" s="83"/>
      <c r="L46" s="83"/>
      <c r="M46" s="83"/>
      <c r="N46" s="83"/>
      <c r="O46" s="83"/>
      <c r="P46" s="83"/>
      <c r="Q46" s="83"/>
      <c r="R46" s="79"/>
    </row>
    <row r="47" spans="1:19" ht="17.7" x14ac:dyDescent="0.55000000000000004">
      <c r="A47" s="83" t="s">
        <v>234</v>
      </c>
      <c r="B47" s="83"/>
      <c r="C47" s="83"/>
      <c r="D47" s="83"/>
      <c r="E47" s="83"/>
      <c r="F47" s="83"/>
      <c r="G47" s="83"/>
      <c r="H47" s="83"/>
      <c r="I47" s="82"/>
      <c r="J47" s="83"/>
      <c r="K47" s="83"/>
      <c r="L47" s="83"/>
      <c r="M47" s="83"/>
      <c r="N47" s="83"/>
      <c r="O47" s="83"/>
      <c r="P47" s="83"/>
      <c r="Q47" s="83"/>
      <c r="R47" s="79"/>
    </row>
    <row r="48" spans="1:19" ht="17.7" x14ac:dyDescent="0.55000000000000004">
      <c r="A48" s="83"/>
      <c r="B48" s="83"/>
      <c r="C48" s="83"/>
      <c r="D48" s="83"/>
      <c r="E48" s="83"/>
      <c r="F48" s="83"/>
      <c r="G48" s="83"/>
      <c r="H48" s="83"/>
      <c r="I48" s="82"/>
      <c r="J48" s="83"/>
      <c r="K48" s="83"/>
      <c r="L48" s="83"/>
      <c r="M48" s="83"/>
      <c r="N48" s="83"/>
      <c r="O48" s="83"/>
      <c r="P48" s="83"/>
      <c r="Q48" s="83"/>
      <c r="R48" s="79"/>
    </row>
    <row r="49" spans="1:18" ht="17.7" x14ac:dyDescent="0.55000000000000004">
      <c r="A49" s="83"/>
      <c r="B49" s="83"/>
      <c r="C49" s="83"/>
      <c r="D49" s="83"/>
      <c r="E49" s="83"/>
      <c r="F49" s="83"/>
      <c r="G49" s="83"/>
      <c r="H49" s="83"/>
      <c r="I49" s="82"/>
      <c r="J49" s="83"/>
      <c r="K49" s="83"/>
      <c r="L49" s="83"/>
      <c r="M49" s="83"/>
      <c r="N49" s="83"/>
      <c r="O49" s="83"/>
      <c r="P49" s="83"/>
      <c r="Q49" s="83"/>
      <c r="R49" s="79"/>
    </row>
    <row r="50" spans="1:18" ht="17.7" x14ac:dyDescent="0.55000000000000004">
      <c r="A50" s="83"/>
      <c r="B50" s="83"/>
      <c r="C50" s="83"/>
      <c r="D50" s="83"/>
      <c r="E50" s="83"/>
      <c r="F50" s="83"/>
      <c r="G50" s="83"/>
      <c r="H50" s="83"/>
      <c r="I50" s="82"/>
      <c r="J50" s="83"/>
      <c r="K50" s="83"/>
      <c r="L50" s="83"/>
      <c r="M50" s="83"/>
      <c r="N50" s="83"/>
      <c r="O50" s="83"/>
      <c r="P50" s="83"/>
      <c r="Q50" s="83"/>
      <c r="R50" s="79"/>
    </row>
    <row r="51" spans="1:18" ht="17.7" x14ac:dyDescent="0.55000000000000004">
      <c r="A51" s="83"/>
      <c r="B51" s="83"/>
      <c r="C51" s="83"/>
      <c r="D51" s="83"/>
      <c r="E51" s="83"/>
      <c r="F51" s="83"/>
      <c r="G51" s="83"/>
      <c r="H51" s="83"/>
      <c r="I51" s="82"/>
      <c r="J51" s="83"/>
      <c r="K51" s="83"/>
      <c r="L51" s="83"/>
      <c r="M51" s="83"/>
      <c r="N51" s="83"/>
      <c r="O51" s="83"/>
      <c r="P51" s="83"/>
      <c r="Q51" s="83"/>
      <c r="R51" s="79"/>
    </row>
    <row r="52" spans="1:18" ht="17.7" x14ac:dyDescent="0.55000000000000004">
      <c r="A52" s="83"/>
      <c r="B52" s="83"/>
      <c r="C52" s="83"/>
      <c r="D52" s="83"/>
      <c r="E52" s="83"/>
      <c r="F52" s="83"/>
      <c r="G52" s="83"/>
      <c r="H52" s="83"/>
      <c r="I52" s="82"/>
      <c r="J52" s="83"/>
      <c r="K52" s="83"/>
      <c r="L52" s="83"/>
      <c r="M52" s="83"/>
      <c r="N52" s="83"/>
      <c r="O52" s="83"/>
      <c r="P52" s="83"/>
      <c r="Q52" s="83"/>
      <c r="R52" s="79"/>
    </row>
    <row r="53" spans="1:18" ht="17.350000000000001" x14ac:dyDescent="0.5">
      <c r="A53" s="83"/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8" ht="17.7" x14ac:dyDescent="0.55000000000000004">
      <c r="A54" s="82" t="s">
        <v>231</v>
      </c>
      <c r="B54" s="101">
        <v>9255.7800000000007</v>
      </c>
      <c r="C54" s="99"/>
      <c r="D54" s="101"/>
      <c r="E54" s="99"/>
      <c r="F54" s="99"/>
      <c r="G54" s="99"/>
      <c r="H54" s="99"/>
      <c r="I54" s="99"/>
      <c r="J54" s="89"/>
      <c r="K54" s="83"/>
      <c r="L54" s="83"/>
      <c r="M54" s="83"/>
      <c r="N54" s="83"/>
      <c r="O54" s="83"/>
      <c r="P54" s="83"/>
      <c r="Q54" s="83"/>
    </row>
    <row r="55" spans="1:18" ht="17.350000000000001" x14ac:dyDescent="0.5">
      <c r="A55" s="83" t="s">
        <v>104</v>
      </c>
      <c r="B55" s="89">
        <v>-1388.37</v>
      </c>
      <c r="C55" s="83"/>
      <c r="D55" s="98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  <row r="56" spans="1:18" ht="17.350000000000001" x14ac:dyDescent="0.5">
      <c r="A56" s="83" t="s">
        <v>103</v>
      </c>
      <c r="B56" s="102">
        <v>-467.41</v>
      </c>
      <c r="C56" s="83"/>
      <c r="D56" s="99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18" ht="17.350000000000001" x14ac:dyDescent="0.5">
      <c r="A57" s="83" t="s">
        <v>171</v>
      </c>
      <c r="B57" s="101">
        <f>SUM(B54:B56)</f>
        <v>7400.0000000000009</v>
      </c>
      <c r="C57" s="99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</row>
    <row r="58" spans="1:18" ht="17.350000000000001" x14ac:dyDescent="0.5">
      <c r="A58" s="83"/>
      <c r="B58" s="83"/>
      <c r="C58" s="83"/>
      <c r="D58" s="98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1:18" ht="17.7" x14ac:dyDescent="0.55000000000000004">
      <c r="A59" s="82"/>
      <c r="B59" s="101"/>
      <c r="C59" s="83"/>
      <c r="D59" s="98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8" ht="17.350000000000001" x14ac:dyDescent="0.5">
      <c r="A60" s="83"/>
      <c r="B60" s="89"/>
      <c r="C60" s="83"/>
      <c r="D60" s="98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1:18" ht="17.350000000000001" x14ac:dyDescent="0.5">
      <c r="A61" s="83"/>
      <c r="B61" s="102"/>
      <c r="C61" s="83"/>
      <c r="D61" s="98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</row>
    <row r="62" spans="1:18" ht="17.350000000000001" x14ac:dyDescent="0.5">
      <c r="A62" s="83"/>
      <c r="B62" s="101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</row>
    <row r="63" spans="1:18" ht="17.350000000000001" x14ac:dyDescent="0.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</row>
    <row r="64" spans="1:18" ht="17.7" x14ac:dyDescent="0.55000000000000004">
      <c r="A64" s="82" t="s">
        <v>253</v>
      </c>
      <c r="B64" s="101">
        <v>6250</v>
      </c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</row>
    <row r="65" spans="1:17" ht="17.350000000000001" x14ac:dyDescent="0.5">
      <c r="A65" s="83" t="s">
        <v>104</v>
      </c>
      <c r="B65" s="89">
        <v>-937.5</v>
      </c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</row>
    <row r="66" spans="1:17" ht="17.350000000000001" x14ac:dyDescent="0.5">
      <c r="A66" s="83" t="s">
        <v>103</v>
      </c>
      <c r="B66" s="91">
        <v>-312.5</v>
      </c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</row>
    <row r="67" spans="1:17" ht="17.350000000000001" x14ac:dyDescent="0.5">
      <c r="A67" s="83" t="s">
        <v>232</v>
      </c>
      <c r="B67" s="101">
        <v>5000</v>
      </c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</row>
    <row r="68" spans="1:17" ht="17.350000000000001" x14ac:dyDescent="0.5">
      <c r="A68" s="83"/>
      <c r="B68" s="83"/>
      <c r="C68" s="83"/>
      <c r="D68" s="83"/>
      <c r="E68" s="83"/>
      <c r="F68" s="83"/>
      <c r="G68" s="83"/>
      <c r="H68" s="83"/>
      <c r="I68" s="83"/>
      <c r="J68" s="83"/>
      <c r="K68" s="83"/>
      <c r="L68" s="83"/>
      <c r="M68" s="83"/>
      <c r="N68" s="83"/>
      <c r="O68" s="83"/>
      <c r="P68" s="83"/>
      <c r="Q68" s="83"/>
    </row>
    <row r="69" spans="1:17" ht="17.350000000000001" x14ac:dyDescent="0.5">
      <c r="A69" s="83"/>
      <c r="B69" s="83"/>
      <c r="C69" s="83"/>
      <c r="D69" s="83"/>
      <c r="E69" s="83"/>
      <c r="F69" s="83"/>
      <c r="G69" s="83"/>
      <c r="H69" s="83"/>
      <c r="I69" s="83"/>
      <c r="J69" s="83"/>
      <c r="K69" s="83"/>
      <c r="L69" s="83"/>
      <c r="M69" s="83"/>
      <c r="N69" s="83"/>
      <c r="O69" s="83"/>
      <c r="P69" s="83"/>
      <c r="Q69" s="83"/>
    </row>
    <row r="70" spans="1:17" ht="17.350000000000001" x14ac:dyDescent="0.5">
      <c r="A70" s="105"/>
      <c r="B70" s="83"/>
      <c r="C70" s="83"/>
      <c r="D70" s="83"/>
      <c r="E70" s="83"/>
      <c r="F70" s="83"/>
      <c r="G70" s="83"/>
      <c r="H70" s="83"/>
      <c r="I70" s="83"/>
      <c r="J70" s="83"/>
      <c r="K70" s="83"/>
      <c r="L70" s="83"/>
      <c r="M70" s="83"/>
      <c r="N70" s="83"/>
      <c r="O70" s="83"/>
      <c r="P70" s="83"/>
      <c r="Q70" s="83"/>
    </row>
    <row r="71" spans="1:17" ht="17.350000000000001" x14ac:dyDescent="0.5">
      <c r="A71" s="105" t="s">
        <v>70</v>
      </c>
      <c r="B71" s="88">
        <v>4962</v>
      </c>
      <c r="C71" s="113"/>
      <c r="D71" s="83"/>
      <c r="E71" s="89"/>
      <c r="F71" s="83"/>
      <c r="G71" s="83"/>
      <c r="H71" s="83"/>
      <c r="I71" s="83"/>
      <c r="J71" s="83"/>
      <c r="K71" s="83"/>
      <c r="L71" s="83"/>
      <c r="M71" s="83"/>
      <c r="N71" s="83"/>
      <c r="O71" s="89">
        <f>B71-SUM(H71:M71)</f>
        <v>4962</v>
      </c>
      <c r="P71" s="83"/>
      <c r="Q71" s="83"/>
    </row>
    <row r="72" spans="1:17" ht="17.350000000000001" x14ac:dyDescent="0.5">
      <c r="A72" s="83" t="s">
        <v>254</v>
      </c>
      <c r="B72" s="88">
        <v>342</v>
      </c>
      <c r="C72" s="113"/>
      <c r="D72" s="98"/>
      <c r="E72" s="89"/>
      <c r="F72" s="83"/>
      <c r="G72" s="83"/>
      <c r="H72" s="83"/>
      <c r="I72" s="83"/>
      <c r="J72" s="83"/>
      <c r="K72" s="83"/>
      <c r="L72" s="83"/>
      <c r="M72" s="83"/>
      <c r="N72" s="83"/>
      <c r="O72" s="89"/>
      <c r="P72" s="83"/>
      <c r="Q72" s="83"/>
    </row>
    <row r="73" spans="1:17" ht="17.350000000000001" x14ac:dyDescent="0.5">
      <c r="A73" s="83" t="s">
        <v>169</v>
      </c>
      <c r="B73" s="88">
        <v>2723</v>
      </c>
      <c r="C73" s="113"/>
      <c r="D73" s="98"/>
      <c r="E73" s="89"/>
      <c r="F73" s="83"/>
      <c r="G73" s="83"/>
      <c r="H73" s="83"/>
      <c r="I73" s="83"/>
      <c r="J73" s="83"/>
      <c r="K73" s="83"/>
      <c r="L73" s="83"/>
      <c r="M73" s="83"/>
      <c r="N73" s="83"/>
      <c r="O73" s="89">
        <f>B73-SUM(D73:M73)</f>
        <v>2723</v>
      </c>
      <c r="P73" s="83"/>
      <c r="Q73" s="83"/>
    </row>
    <row r="74" spans="1:17" ht="17.350000000000001" x14ac:dyDescent="0.5">
      <c r="A74" s="83" t="s">
        <v>168</v>
      </c>
      <c r="B74" s="88">
        <v>5230</v>
      </c>
      <c r="C74" s="113"/>
      <c r="D74" s="98"/>
      <c r="E74" s="89"/>
      <c r="F74" s="83"/>
      <c r="G74" s="83"/>
      <c r="H74" s="83"/>
      <c r="I74" s="83"/>
      <c r="J74" s="83"/>
      <c r="K74" s="83"/>
      <c r="L74" s="83"/>
      <c r="M74" s="83"/>
      <c r="N74" s="83"/>
      <c r="O74" s="89">
        <f>B74-SUM(D74:M74)</f>
        <v>5230</v>
      </c>
      <c r="P74" s="83"/>
      <c r="Q74" s="83"/>
    </row>
    <row r="75" spans="1:17" ht="17.7" x14ac:dyDescent="0.55000000000000004">
      <c r="A75" s="83" t="s">
        <v>233</v>
      </c>
      <c r="B75" s="88">
        <v>74</v>
      </c>
      <c r="C75" s="113"/>
      <c r="D75" s="98"/>
      <c r="E75" s="89"/>
      <c r="F75" s="83"/>
      <c r="G75" s="83"/>
      <c r="H75" s="83"/>
      <c r="I75" s="83"/>
      <c r="J75" s="83"/>
      <c r="K75" s="83"/>
      <c r="L75" s="83"/>
      <c r="M75" s="83"/>
      <c r="N75" s="83"/>
      <c r="O75" s="89">
        <f>B75-SUM(D75:M75)</f>
        <v>74</v>
      </c>
      <c r="P75" s="103"/>
      <c r="Q75" s="83"/>
    </row>
    <row r="76" spans="1:17" ht="17.7" x14ac:dyDescent="0.55000000000000004">
      <c r="A76" s="83" t="s">
        <v>255</v>
      </c>
      <c r="B76" s="91">
        <v>424</v>
      </c>
      <c r="C76" s="82"/>
      <c r="D76" s="98"/>
      <c r="E76" s="89"/>
      <c r="F76" s="83"/>
      <c r="G76" s="83"/>
      <c r="H76" s="83"/>
      <c r="I76" s="83"/>
      <c r="J76" s="83"/>
      <c r="K76" s="83"/>
      <c r="L76" s="83"/>
      <c r="M76" s="83"/>
      <c r="N76" s="83"/>
      <c r="O76" s="89">
        <f>B76-SUM(D76:M76)</f>
        <v>424</v>
      </c>
      <c r="P76" s="83"/>
      <c r="Q76" s="83"/>
    </row>
    <row r="77" spans="1:17" ht="17.7" x14ac:dyDescent="0.55000000000000004">
      <c r="A77" s="83" t="s">
        <v>44</v>
      </c>
      <c r="B77" s="89">
        <f>SUM(B71:B76)</f>
        <v>13755</v>
      </c>
      <c r="C77" s="89">
        <f>SUM(C71:C76)</f>
        <v>0</v>
      </c>
      <c r="D77" s="89"/>
      <c r="E77" s="89"/>
      <c r="F77" s="88">
        <f>SUM(F72:F75)</f>
        <v>0</v>
      </c>
      <c r="G77" s="88">
        <f>SUM(G72:G75)</f>
        <v>0</v>
      </c>
      <c r="H77" s="88">
        <f>SUM(H72:H75)</f>
        <v>0</v>
      </c>
      <c r="I77" s="88">
        <f t="shared" ref="I77:O77" si="7">SUM(I72:I75)</f>
        <v>0</v>
      </c>
      <c r="J77" s="88">
        <f t="shared" si="7"/>
        <v>0</v>
      </c>
      <c r="K77" s="88">
        <f t="shared" si="7"/>
        <v>0</v>
      </c>
      <c r="L77" s="88">
        <f t="shared" si="7"/>
        <v>0</v>
      </c>
      <c r="M77" s="88">
        <f t="shared" si="7"/>
        <v>0</v>
      </c>
      <c r="N77" s="88"/>
      <c r="O77" s="89">
        <f t="shared" si="7"/>
        <v>8027</v>
      </c>
      <c r="P77" s="82"/>
      <c r="Q77" s="83"/>
    </row>
    <row r="78" spans="1:17" ht="17.350000000000001" x14ac:dyDescent="0.5">
      <c r="A78" s="83"/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</row>
    <row r="80" spans="1:17" ht="17.350000000000001" x14ac:dyDescent="0.5">
      <c r="A80" s="83"/>
      <c r="B80" s="83"/>
      <c r="C80" s="83"/>
      <c r="F80" s="78"/>
    </row>
    <row r="81" spans="1:6" ht="17.350000000000001" x14ac:dyDescent="0.5">
      <c r="A81" s="83"/>
      <c r="B81" s="83"/>
      <c r="C81" s="83"/>
      <c r="F81" s="78"/>
    </row>
    <row r="82" spans="1:6" ht="17.350000000000001" x14ac:dyDescent="0.5">
      <c r="A82" s="83"/>
      <c r="B82" s="83"/>
      <c r="C82" s="83"/>
      <c r="F82" s="77"/>
    </row>
    <row r="83" spans="1:6" ht="17.350000000000001" x14ac:dyDescent="0.5">
      <c r="A83" s="83"/>
      <c r="B83" s="83"/>
      <c r="C83" s="83"/>
      <c r="F83" s="77"/>
    </row>
    <row r="84" spans="1:6" ht="17.350000000000001" x14ac:dyDescent="0.5">
      <c r="A84" s="83"/>
      <c r="B84" s="83"/>
      <c r="C84" s="83"/>
    </row>
    <row r="85" spans="1:6" ht="17.350000000000001" x14ac:dyDescent="0.5">
      <c r="A85" s="83"/>
      <c r="B85" s="83"/>
      <c r="C85" s="83"/>
      <c r="D85" s="74"/>
    </row>
    <row r="86" spans="1:6" ht="17.350000000000001" x14ac:dyDescent="0.5">
      <c r="A86" s="83"/>
      <c r="B86" s="83"/>
      <c r="C86" s="83"/>
    </row>
  </sheetData>
  <pageMargins left="0.25" right="0" top="0.5" bottom="1" header="0.5" footer="0.5"/>
  <pageSetup scale="65" orientation="landscape" r:id="rId1"/>
  <headerFooter alignWithMargins="0"/>
  <rowBreaks count="1" manualBreakCount="1">
    <brk id="41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00BA9A-7204-4DDD-8E1D-BA27BF6CBEB5}">
  <dimension ref="A1:U79"/>
  <sheetViews>
    <sheetView zoomScale="70" zoomScaleNormal="70" workbookViewId="0">
      <pane ySplit="1" topLeftCell="A40" activePane="bottomLeft" state="frozen"/>
      <selection pane="bottomLeft" activeCell="A57" sqref="A57:B60"/>
    </sheetView>
  </sheetViews>
  <sheetFormatPr defaultColWidth="9.05859375" defaultRowHeight="15" x14ac:dyDescent="0.45"/>
  <cols>
    <col min="1" max="1" width="35" style="75" customWidth="1"/>
    <col min="2" max="2" width="14.5859375" style="75" customWidth="1"/>
    <col min="3" max="3" width="13.41015625" style="75" customWidth="1"/>
    <col min="4" max="4" width="13.29296875" style="75" customWidth="1"/>
    <col min="5" max="5" width="13.8203125" style="75" customWidth="1"/>
    <col min="6" max="6" width="14.3515625" style="75" customWidth="1"/>
    <col min="7" max="7" width="14.46875" style="75" customWidth="1"/>
    <col min="8" max="8" width="13.64453125" style="75" customWidth="1"/>
    <col min="9" max="9" width="15" style="75" customWidth="1"/>
    <col min="10" max="10" width="12.46875" style="75" customWidth="1"/>
    <col min="11" max="11" width="13.52734375" style="75" customWidth="1"/>
    <col min="12" max="12" width="12.64453125" style="75" customWidth="1"/>
    <col min="13" max="13" width="14.17578125" style="75" customWidth="1"/>
    <col min="14" max="14" width="2.64453125" style="75" customWidth="1"/>
    <col min="15" max="15" width="15.29296875" style="75" customWidth="1"/>
    <col min="16" max="16" width="12.1171875" style="75" customWidth="1"/>
    <col min="17" max="17" width="14.1171875" style="75" customWidth="1"/>
    <col min="18" max="18" width="13.46875" style="75" customWidth="1"/>
    <col min="19" max="16384" width="9.05859375" style="75"/>
  </cols>
  <sheetData>
    <row r="1" spans="1:17" ht="17.7" x14ac:dyDescent="0.55000000000000004">
      <c r="A1" s="82" t="s">
        <v>204</v>
      </c>
      <c r="B1" s="84" t="s">
        <v>40</v>
      </c>
      <c r="C1" s="85" t="s">
        <v>43</v>
      </c>
      <c r="D1" s="84" t="s">
        <v>50</v>
      </c>
      <c r="E1" s="84" t="s">
        <v>51</v>
      </c>
      <c r="F1" s="84" t="s">
        <v>46</v>
      </c>
      <c r="G1" s="84" t="s">
        <v>47</v>
      </c>
      <c r="H1" s="84" t="s">
        <v>0</v>
      </c>
      <c r="I1" s="84" t="s">
        <v>3</v>
      </c>
      <c r="J1" s="84" t="s">
        <v>10</v>
      </c>
      <c r="K1" s="84" t="s">
        <v>11</v>
      </c>
      <c r="L1" s="84" t="s">
        <v>12</v>
      </c>
      <c r="M1" s="84" t="s">
        <v>13</v>
      </c>
      <c r="N1" s="84"/>
      <c r="O1" s="84" t="s">
        <v>44</v>
      </c>
      <c r="P1" s="86"/>
      <c r="Q1" s="83"/>
    </row>
    <row r="2" spans="1:17" ht="17.7" x14ac:dyDescent="0.55000000000000004">
      <c r="A2" s="82" t="s">
        <v>77</v>
      </c>
      <c r="B2" s="86"/>
      <c r="C2" s="83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3"/>
    </row>
    <row r="3" spans="1:17" ht="17.350000000000001" x14ac:dyDescent="0.5">
      <c r="A3" s="83" t="s">
        <v>125</v>
      </c>
      <c r="B3" s="88">
        <v>1703.8</v>
      </c>
      <c r="C3" s="88">
        <v>1688</v>
      </c>
      <c r="D3" s="88">
        <v>1688</v>
      </c>
      <c r="E3" s="88">
        <v>1688</v>
      </c>
      <c r="F3" s="88">
        <v>1688</v>
      </c>
      <c r="G3" s="88">
        <v>1688</v>
      </c>
      <c r="H3" s="88">
        <v>1688</v>
      </c>
      <c r="I3" s="88">
        <v>1688</v>
      </c>
      <c r="J3" s="88">
        <v>1688</v>
      </c>
      <c r="K3" s="88">
        <v>1688</v>
      </c>
      <c r="L3" s="88">
        <v>1688</v>
      </c>
      <c r="M3" s="88">
        <v>1688</v>
      </c>
      <c r="N3" s="88"/>
      <c r="O3" s="89">
        <f t="shared" ref="O3:O8" si="0">SUM(B3:M3)</f>
        <v>20271.8</v>
      </c>
      <c r="P3" s="89"/>
      <c r="Q3" s="89"/>
    </row>
    <row r="4" spans="1:17" ht="17.350000000000001" x14ac:dyDescent="0.5">
      <c r="A4" s="83" t="s">
        <v>126</v>
      </c>
      <c r="B4" s="88">
        <v>400</v>
      </c>
      <c r="C4" s="88">
        <v>400</v>
      </c>
      <c r="D4" s="88">
        <v>400</v>
      </c>
      <c r="E4" s="88">
        <v>400</v>
      </c>
      <c r="F4" s="88">
        <v>400</v>
      </c>
      <c r="G4" s="88">
        <v>300</v>
      </c>
      <c r="H4" s="88">
        <v>400</v>
      </c>
      <c r="I4" s="88">
        <v>400</v>
      </c>
      <c r="J4" s="88">
        <v>400</v>
      </c>
      <c r="K4" s="88">
        <v>400</v>
      </c>
      <c r="L4" s="88">
        <v>400</v>
      </c>
      <c r="M4" s="88">
        <v>400</v>
      </c>
      <c r="N4" s="88" t="s">
        <v>91</v>
      </c>
      <c r="O4" s="89">
        <f t="shared" si="0"/>
        <v>4700</v>
      </c>
      <c r="P4" s="89"/>
      <c r="Q4" s="83"/>
    </row>
    <row r="5" spans="1:17" ht="17.350000000000001" x14ac:dyDescent="0.5">
      <c r="A5" s="83" t="s">
        <v>198</v>
      </c>
      <c r="B5" s="88">
        <v>500</v>
      </c>
      <c r="C5" s="88">
        <v>500</v>
      </c>
      <c r="D5" s="88">
        <v>500</v>
      </c>
      <c r="E5" s="88">
        <v>500</v>
      </c>
      <c r="F5" s="88">
        <v>500</v>
      </c>
      <c r="G5" s="88">
        <v>500</v>
      </c>
      <c r="H5" s="88">
        <v>500</v>
      </c>
      <c r="I5" s="88">
        <v>500</v>
      </c>
      <c r="J5" s="88">
        <v>500</v>
      </c>
      <c r="K5" s="88">
        <v>500</v>
      </c>
      <c r="L5" s="88">
        <v>500</v>
      </c>
      <c r="M5" s="88">
        <v>500</v>
      </c>
      <c r="N5" s="88"/>
      <c r="O5" s="89">
        <f t="shared" si="0"/>
        <v>6000</v>
      </c>
      <c r="P5" s="89"/>
      <c r="Q5" s="83"/>
    </row>
    <row r="6" spans="1:17" ht="17.350000000000001" x14ac:dyDescent="0.5">
      <c r="A6" s="83" t="s">
        <v>166</v>
      </c>
      <c r="B6" s="88">
        <v>625</v>
      </c>
      <c r="C6" s="88">
        <v>625</v>
      </c>
      <c r="D6" s="88">
        <v>625</v>
      </c>
      <c r="E6" s="88">
        <v>625</v>
      </c>
      <c r="F6" s="88">
        <v>625</v>
      </c>
      <c r="G6" s="88">
        <v>625</v>
      </c>
      <c r="H6" s="88">
        <v>625</v>
      </c>
      <c r="I6" s="88">
        <v>625</v>
      </c>
      <c r="J6" s="88">
        <v>625</v>
      </c>
      <c r="K6" s="88">
        <v>625</v>
      </c>
      <c r="L6" s="88">
        <v>625</v>
      </c>
      <c r="M6" s="88">
        <v>625</v>
      </c>
      <c r="N6" s="88" t="s">
        <v>91</v>
      </c>
      <c r="O6" s="89">
        <f t="shared" si="0"/>
        <v>7500</v>
      </c>
      <c r="P6" s="89"/>
      <c r="Q6" s="98"/>
    </row>
    <row r="7" spans="1:17" ht="17.350000000000001" x14ac:dyDescent="0.5">
      <c r="A7" s="83" t="s">
        <v>179</v>
      </c>
      <c r="B7" s="90">
        <f>311+Q14</f>
        <v>311</v>
      </c>
      <c r="C7" s="90">
        <v>311</v>
      </c>
      <c r="D7" s="90">
        <v>311</v>
      </c>
      <c r="E7" s="90">
        <v>311</v>
      </c>
      <c r="F7" s="90">
        <v>311</v>
      </c>
      <c r="G7" s="90">
        <v>311</v>
      </c>
      <c r="H7" s="90">
        <f>311+562</f>
        <v>873</v>
      </c>
      <c r="I7" s="90">
        <v>311</v>
      </c>
      <c r="J7" s="90">
        <v>311</v>
      </c>
      <c r="K7" s="90">
        <f>311+602+44</f>
        <v>957</v>
      </c>
      <c r="L7" s="90">
        <v>311</v>
      </c>
      <c r="M7" s="90">
        <v>355</v>
      </c>
      <c r="N7" s="90"/>
      <c r="O7" s="91">
        <f t="shared" si="0"/>
        <v>4984</v>
      </c>
      <c r="P7" s="89"/>
      <c r="Q7" s="83"/>
    </row>
    <row r="8" spans="1:17" ht="17.350000000000001" x14ac:dyDescent="0.5">
      <c r="A8" s="83" t="s">
        <v>44</v>
      </c>
      <c r="B8" s="88">
        <f>SUM(B3:B7)</f>
        <v>3539.8</v>
      </c>
      <c r="C8" s="88">
        <f t="shared" ref="C8:K8" si="1">SUM(C3:C7)</f>
        <v>3524</v>
      </c>
      <c r="D8" s="88">
        <f t="shared" si="1"/>
        <v>3524</v>
      </c>
      <c r="E8" s="88">
        <f t="shared" si="1"/>
        <v>3524</v>
      </c>
      <c r="F8" s="88">
        <f t="shared" si="1"/>
        <v>3524</v>
      </c>
      <c r="G8" s="88">
        <f t="shared" si="1"/>
        <v>3424</v>
      </c>
      <c r="H8" s="88">
        <f t="shared" si="1"/>
        <v>4086</v>
      </c>
      <c r="I8" s="88">
        <f t="shared" si="1"/>
        <v>3524</v>
      </c>
      <c r="J8" s="88">
        <f t="shared" si="1"/>
        <v>3524</v>
      </c>
      <c r="K8" s="88">
        <f t="shared" si="1"/>
        <v>4170</v>
      </c>
      <c r="L8" s="88">
        <f>SUM(L3:L7)</f>
        <v>3524</v>
      </c>
      <c r="M8" s="88">
        <f>SUM(M3:M7)</f>
        <v>3568</v>
      </c>
      <c r="N8" s="88"/>
      <c r="O8" s="89">
        <f t="shared" si="0"/>
        <v>43455.8</v>
      </c>
      <c r="P8" s="89">
        <f>SUM(P3:P7)</f>
        <v>0</v>
      </c>
      <c r="Q8" s="89">
        <f>SUM(Q3:Q7)</f>
        <v>0</v>
      </c>
    </row>
    <row r="9" spans="1:17" ht="17.7" x14ac:dyDescent="0.55000000000000004">
      <c r="A9" s="83"/>
      <c r="B9" s="86"/>
      <c r="C9" s="83"/>
      <c r="D9" s="86"/>
      <c r="E9" s="86"/>
      <c r="F9" s="86"/>
      <c r="G9" s="86"/>
      <c r="H9" s="86"/>
      <c r="I9" s="86"/>
      <c r="J9" s="86"/>
      <c r="K9" s="86"/>
      <c r="L9" s="86"/>
      <c r="M9" s="87"/>
      <c r="N9" s="87"/>
      <c r="O9" s="86"/>
      <c r="P9" s="86"/>
      <c r="Q9" s="83"/>
    </row>
    <row r="10" spans="1:17" ht="17.7" x14ac:dyDescent="0.55000000000000004">
      <c r="A10" s="82" t="s">
        <v>128</v>
      </c>
      <c r="B10" s="86"/>
      <c r="C10" s="83"/>
      <c r="D10" s="86"/>
      <c r="E10" s="86"/>
      <c r="F10" s="86"/>
      <c r="G10" s="86"/>
      <c r="H10" s="86"/>
      <c r="I10" s="86"/>
      <c r="J10" s="86"/>
      <c r="K10" s="86"/>
      <c r="L10" s="86"/>
      <c r="M10" s="87"/>
      <c r="N10" s="87"/>
      <c r="O10" s="86"/>
      <c r="P10" s="86"/>
      <c r="Q10" s="83"/>
    </row>
    <row r="11" spans="1:17" ht="15.75" customHeight="1" x14ac:dyDescent="0.5">
      <c r="A11" s="83" t="s">
        <v>214</v>
      </c>
      <c r="B11" s="89">
        <v>50</v>
      </c>
      <c r="C11" s="89">
        <v>100</v>
      </c>
      <c r="D11" s="89">
        <v>75</v>
      </c>
      <c r="E11" s="89">
        <v>75</v>
      </c>
      <c r="F11" s="89">
        <v>75</v>
      </c>
      <c r="G11" s="89">
        <v>75</v>
      </c>
      <c r="H11" s="89">
        <f>75+125</f>
        <v>200</v>
      </c>
      <c r="I11" s="89">
        <f>75+125</f>
        <v>200</v>
      </c>
      <c r="J11" s="89">
        <f>75+125</f>
        <v>200</v>
      </c>
      <c r="K11" s="89">
        <v>75</v>
      </c>
      <c r="L11" s="89">
        <v>100</v>
      </c>
      <c r="M11" s="89">
        <v>160</v>
      </c>
      <c r="N11" s="89"/>
      <c r="O11" s="89">
        <f t="shared" ref="O11:O22" si="2">SUM(B11:M11)</f>
        <v>1385</v>
      </c>
      <c r="P11" s="89"/>
      <c r="Q11" s="89"/>
    </row>
    <row r="12" spans="1:17" ht="15.75" customHeight="1" x14ac:dyDescent="0.5">
      <c r="A12" s="83" t="s">
        <v>215</v>
      </c>
      <c r="B12" s="89">
        <v>150</v>
      </c>
      <c r="C12" s="89">
        <v>200</v>
      </c>
      <c r="D12" s="89">
        <v>200</v>
      </c>
      <c r="E12" s="89">
        <v>200</v>
      </c>
      <c r="F12" s="89">
        <v>230.5</v>
      </c>
      <c r="G12" s="89"/>
      <c r="H12" s="89"/>
      <c r="I12" s="89"/>
      <c r="J12" s="89"/>
      <c r="K12" s="89"/>
      <c r="L12" s="89"/>
      <c r="M12" s="89"/>
      <c r="N12" s="89"/>
      <c r="O12" s="89">
        <f t="shared" si="2"/>
        <v>980.5</v>
      </c>
      <c r="P12" s="89"/>
      <c r="Q12" s="89"/>
    </row>
    <row r="13" spans="1:17" ht="17.350000000000001" x14ac:dyDescent="0.5">
      <c r="A13" s="83" t="s">
        <v>172</v>
      </c>
      <c r="B13" s="89">
        <v>562.04999999999995</v>
      </c>
      <c r="C13" s="89"/>
      <c r="D13" s="89"/>
      <c r="E13" s="89">
        <v>560</v>
      </c>
      <c r="F13" s="89"/>
      <c r="G13" s="89"/>
      <c r="H13" s="89">
        <v>551</v>
      </c>
      <c r="I13" s="89"/>
      <c r="J13" s="89"/>
      <c r="K13" s="89">
        <v>602</v>
      </c>
      <c r="L13" s="89"/>
      <c r="M13" s="89"/>
      <c r="N13" s="89"/>
      <c r="O13" s="89">
        <f t="shared" si="2"/>
        <v>2275.0500000000002</v>
      </c>
      <c r="P13" s="89"/>
      <c r="Q13" s="89"/>
    </row>
    <row r="14" spans="1:17" ht="17.350000000000001" x14ac:dyDescent="0.5">
      <c r="A14" s="83" t="s">
        <v>216</v>
      </c>
      <c r="B14" s="89">
        <v>70</v>
      </c>
      <c r="C14" s="89">
        <v>150</v>
      </c>
      <c r="D14" s="89">
        <v>150</v>
      </c>
      <c r="E14" s="89">
        <v>100</v>
      </c>
      <c r="F14" s="89">
        <v>100</v>
      </c>
      <c r="G14" s="89">
        <v>200</v>
      </c>
      <c r="H14" s="89">
        <v>200</v>
      </c>
      <c r="I14" s="89">
        <v>200</v>
      </c>
      <c r="J14" s="89">
        <v>200</v>
      </c>
      <c r="K14" s="89">
        <v>100</v>
      </c>
      <c r="L14" s="89">
        <v>200</v>
      </c>
      <c r="M14" s="89">
        <v>100</v>
      </c>
      <c r="N14" s="89"/>
      <c r="O14" s="89">
        <f t="shared" si="2"/>
        <v>1770</v>
      </c>
      <c r="P14" s="89"/>
      <c r="Q14" s="89"/>
    </row>
    <row r="15" spans="1:17" ht="20.350000000000001" customHeight="1" x14ac:dyDescent="0.55000000000000004">
      <c r="A15" s="83" t="s">
        <v>213</v>
      </c>
      <c r="B15" s="89">
        <v>300</v>
      </c>
      <c r="C15" s="89">
        <v>300</v>
      </c>
      <c r="D15" s="89">
        <v>400</v>
      </c>
      <c r="E15" s="89">
        <v>300</v>
      </c>
      <c r="F15" s="89">
        <v>300</v>
      </c>
      <c r="G15" s="89">
        <v>350</v>
      </c>
      <c r="H15" s="89">
        <v>350</v>
      </c>
      <c r="I15" s="89">
        <v>350</v>
      </c>
      <c r="J15" s="89">
        <v>350</v>
      </c>
      <c r="K15" s="89">
        <f>525</f>
        <v>525</v>
      </c>
      <c r="L15" s="89">
        <v>500</v>
      </c>
      <c r="M15" s="89">
        <f>525</f>
        <v>525</v>
      </c>
      <c r="N15" s="89"/>
      <c r="O15" s="89">
        <f t="shared" si="2"/>
        <v>4550</v>
      </c>
      <c r="P15" s="89"/>
      <c r="Q15" s="92"/>
    </row>
    <row r="16" spans="1:17" ht="19.7" customHeight="1" x14ac:dyDescent="0.5">
      <c r="A16" s="83" t="s">
        <v>88</v>
      </c>
      <c r="B16" s="89">
        <v>311</v>
      </c>
      <c r="C16" s="89">
        <v>311</v>
      </c>
      <c r="D16" s="89">
        <v>311</v>
      </c>
      <c r="E16" s="89">
        <v>311</v>
      </c>
      <c r="F16" s="89">
        <v>311</v>
      </c>
      <c r="G16" s="89">
        <v>311</v>
      </c>
      <c r="H16" s="89">
        <v>311</v>
      </c>
      <c r="I16" s="89">
        <v>311</v>
      </c>
      <c r="J16" s="89">
        <v>311</v>
      </c>
      <c r="K16" s="89">
        <v>311</v>
      </c>
      <c r="L16" s="89">
        <v>311</v>
      </c>
      <c r="M16" s="89">
        <v>355</v>
      </c>
      <c r="N16" s="89"/>
      <c r="O16" s="89">
        <f t="shared" si="2"/>
        <v>3776</v>
      </c>
      <c r="P16" s="89"/>
      <c r="Q16" s="89"/>
    </row>
    <row r="17" spans="1:21" ht="19.7" customHeight="1" x14ac:dyDescent="0.55000000000000004">
      <c r="A17" s="83" t="s">
        <v>132</v>
      </c>
      <c r="B17" s="89">
        <v>606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92"/>
      <c r="N17" s="92"/>
      <c r="O17" s="89">
        <f t="shared" si="2"/>
        <v>606</v>
      </c>
      <c r="P17" s="89"/>
      <c r="Q17" s="89"/>
    </row>
    <row r="18" spans="1:21" ht="17.350000000000001" x14ac:dyDescent="0.5">
      <c r="A18" s="83" t="s">
        <v>210</v>
      </c>
      <c r="B18" s="89">
        <v>101.71</v>
      </c>
      <c r="C18" s="89">
        <v>124.35</v>
      </c>
      <c r="D18" s="89">
        <v>124.35</v>
      </c>
      <c r="E18" s="89">
        <v>64.31</v>
      </c>
      <c r="F18" s="89"/>
      <c r="G18" s="89"/>
      <c r="H18" s="89">
        <v>8</v>
      </c>
      <c r="I18" s="89">
        <v>8</v>
      </c>
      <c r="J18" s="89">
        <v>8</v>
      </c>
      <c r="K18" s="89">
        <v>8</v>
      </c>
      <c r="L18" s="89">
        <v>143.52000000000001</v>
      </c>
      <c r="M18" s="89">
        <v>96.2</v>
      </c>
      <c r="N18" s="89" t="s">
        <v>91</v>
      </c>
      <c r="O18" s="89">
        <f t="shared" si="2"/>
        <v>686.44</v>
      </c>
      <c r="P18" s="89"/>
      <c r="Q18" s="89"/>
    </row>
    <row r="19" spans="1:21" ht="17.350000000000001" x14ac:dyDescent="0.5">
      <c r="A19" s="83" t="s">
        <v>211</v>
      </c>
      <c r="B19" s="89">
        <v>48.7</v>
      </c>
      <c r="C19" s="89">
        <v>89.12</v>
      </c>
      <c r="D19" s="89">
        <v>99.74</v>
      </c>
      <c r="E19" s="89">
        <v>100.69</v>
      </c>
      <c r="F19" s="89">
        <v>55.84</v>
      </c>
      <c r="G19" s="89">
        <v>41.17</v>
      </c>
      <c r="H19" s="89">
        <v>41.17</v>
      </c>
      <c r="I19" s="89">
        <v>28.71</v>
      </c>
      <c r="J19" s="89">
        <v>29.97</v>
      </c>
      <c r="K19" s="89">
        <v>27.34</v>
      </c>
      <c r="L19" s="89">
        <v>93.63</v>
      </c>
      <c r="M19" s="89">
        <v>100</v>
      </c>
      <c r="N19" s="89"/>
      <c r="O19" s="89">
        <f t="shared" si="2"/>
        <v>756.08</v>
      </c>
      <c r="P19" s="89"/>
      <c r="Q19" s="89"/>
    </row>
    <row r="20" spans="1:21" ht="18.350000000000001" customHeight="1" x14ac:dyDescent="0.5">
      <c r="A20" s="83" t="s">
        <v>217</v>
      </c>
      <c r="B20" s="89">
        <v>318</v>
      </c>
      <c r="C20" s="89">
        <v>318</v>
      </c>
      <c r="D20" s="89">
        <v>318</v>
      </c>
      <c r="E20" s="89">
        <v>318</v>
      </c>
      <c r="F20" s="89">
        <v>318</v>
      </c>
      <c r="G20" s="89">
        <v>318</v>
      </c>
      <c r="H20" s="89">
        <v>318</v>
      </c>
      <c r="I20" s="89">
        <v>318</v>
      </c>
      <c r="J20" s="89">
        <v>318</v>
      </c>
      <c r="K20" s="89">
        <v>318</v>
      </c>
      <c r="L20" s="89">
        <v>318</v>
      </c>
      <c r="M20" s="89">
        <v>318</v>
      </c>
      <c r="N20" s="89"/>
      <c r="O20" s="89">
        <f t="shared" si="2"/>
        <v>3816</v>
      </c>
      <c r="P20" s="89"/>
      <c r="Q20" s="89"/>
    </row>
    <row r="21" spans="1:21" ht="18.350000000000001" customHeight="1" x14ac:dyDescent="0.55000000000000004">
      <c r="A21" s="83" t="s">
        <v>218</v>
      </c>
      <c r="B21" s="89">
        <v>30</v>
      </c>
      <c r="C21" s="89">
        <v>30</v>
      </c>
      <c r="D21" s="89">
        <v>30</v>
      </c>
      <c r="E21" s="89">
        <v>30</v>
      </c>
      <c r="F21" s="89">
        <v>30</v>
      </c>
      <c r="G21" s="89">
        <v>30</v>
      </c>
      <c r="H21" s="89">
        <v>30</v>
      </c>
      <c r="I21" s="89">
        <v>30</v>
      </c>
      <c r="J21" s="89">
        <v>44</v>
      </c>
      <c r="K21" s="89">
        <v>25</v>
      </c>
      <c r="L21" s="89">
        <v>35</v>
      </c>
      <c r="M21" s="89">
        <v>50</v>
      </c>
      <c r="N21" s="89" t="s">
        <v>91</v>
      </c>
      <c r="O21" s="89">
        <f t="shared" si="2"/>
        <v>394</v>
      </c>
      <c r="P21" s="92"/>
      <c r="Q21" s="89"/>
    </row>
    <row r="22" spans="1:21" ht="15" customHeight="1" x14ac:dyDescent="0.5">
      <c r="A22" s="83" t="s">
        <v>219</v>
      </c>
      <c r="B22" s="89">
        <v>30</v>
      </c>
      <c r="C22" s="89">
        <v>30</v>
      </c>
      <c r="D22" s="89">
        <v>25</v>
      </c>
      <c r="E22" s="89">
        <v>30</v>
      </c>
      <c r="F22" s="89">
        <v>30</v>
      </c>
      <c r="G22" s="89">
        <v>30</v>
      </c>
      <c r="H22" s="89">
        <v>30</v>
      </c>
      <c r="I22" s="89">
        <v>30</v>
      </c>
      <c r="J22" s="89">
        <v>30</v>
      </c>
      <c r="K22" s="89">
        <v>30</v>
      </c>
      <c r="L22" s="89">
        <v>30</v>
      </c>
      <c r="M22" s="89">
        <v>30</v>
      </c>
      <c r="N22" s="89"/>
      <c r="O22" s="89">
        <f t="shared" si="2"/>
        <v>355</v>
      </c>
      <c r="P22" s="89"/>
      <c r="Q22" s="89"/>
    </row>
    <row r="23" spans="1:21" ht="15" customHeight="1" x14ac:dyDescent="0.5">
      <c r="A23" s="83" t="s">
        <v>163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21" ht="17.350000000000001" x14ac:dyDescent="0.5">
      <c r="A24" s="83" t="s">
        <v>212</v>
      </c>
      <c r="B24" s="89">
        <v>62.47</v>
      </c>
      <c r="C24" s="93">
        <v>109.68</v>
      </c>
      <c r="D24" s="89">
        <v>52.02</v>
      </c>
      <c r="E24" s="89">
        <v>49.05</v>
      </c>
      <c r="F24" s="89">
        <v>103.13</v>
      </c>
      <c r="G24" s="89">
        <v>143.49</v>
      </c>
      <c r="H24" s="89">
        <v>174.53</v>
      </c>
      <c r="I24" s="89">
        <v>190.44</v>
      </c>
      <c r="J24" s="89">
        <v>159.44</v>
      </c>
      <c r="K24" s="89">
        <v>126.84</v>
      </c>
      <c r="L24" s="89">
        <v>96.03</v>
      </c>
      <c r="M24" s="89">
        <v>42.27</v>
      </c>
      <c r="N24" s="89" t="s">
        <v>91</v>
      </c>
      <c r="O24" s="89">
        <f t="shared" ref="O24:O32" si="3">SUM(B24:M24)</f>
        <v>1309.3899999999999</v>
      </c>
      <c r="P24" s="89"/>
      <c r="Q24" s="89"/>
    </row>
    <row r="25" spans="1:21" ht="17.350000000000001" x14ac:dyDescent="0.5">
      <c r="A25" s="83" t="s">
        <v>227</v>
      </c>
      <c r="B25" s="89">
        <v>154</v>
      </c>
      <c r="C25" s="89"/>
      <c r="D25" s="89"/>
      <c r="E25" s="89"/>
      <c r="F25" s="89">
        <v>0</v>
      </c>
      <c r="G25" s="89"/>
      <c r="H25" s="89"/>
      <c r="I25" s="89">
        <v>150</v>
      </c>
      <c r="J25" s="89">
        <v>150</v>
      </c>
      <c r="K25" s="89">
        <v>150</v>
      </c>
      <c r="L25" s="89">
        <v>150</v>
      </c>
      <c r="M25" s="89">
        <v>150</v>
      </c>
      <c r="N25" s="89"/>
      <c r="O25" s="89">
        <f t="shared" si="3"/>
        <v>904</v>
      </c>
      <c r="P25" s="89"/>
      <c r="Q25" s="89"/>
    </row>
    <row r="26" spans="1:21" ht="17.7" x14ac:dyDescent="0.55000000000000004">
      <c r="A26" s="83" t="s">
        <v>167</v>
      </c>
      <c r="B26" s="89">
        <v>33.33</v>
      </c>
      <c r="C26" s="89"/>
      <c r="D26" s="89"/>
      <c r="E26" s="89"/>
      <c r="F26" s="92">
        <v>0</v>
      </c>
      <c r="G26" s="89"/>
      <c r="H26" s="89">
        <v>0</v>
      </c>
      <c r="I26" s="89"/>
      <c r="J26" s="89"/>
      <c r="K26" s="89">
        <v>50</v>
      </c>
      <c r="L26" s="89">
        <v>52</v>
      </c>
      <c r="M26" s="89">
        <v>60</v>
      </c>
      <c r="N26" s="89" t="s">
        <v>91</v>
      </c>
      <c r="O26" s="89">
        <f t="shared" si="3"/>
        <v>195.32999999999998</v>
      </c>
      <c r="P26" s="89"/>
      <c r="Q26" s="89"/>
    </row>
    <row r="27" spans="1:21" ht="17.7" x14ac:dyDescent="0.55000000000000004">
      <c r="A27" s="83" t="s">
        <v>208</v>
      </c>
      <c r="B27" s="89"/>
      <c r="C27" s="89"/>
      <c r="D27" s="89"/>
      <c r="E27" s="89"/>
      <c r="F27" s="92"/>
      <c r="G27" s="89"/>
      <c r="H27" s="89"/>
      <c r="I27" s="89"/>
      <c r="J27" s="89"/>
      <c r="K27" s="92"/>
      <c r="L27" s="89"/>
      <c r="M27" s="89"/>
      <c r="N27" s="89"/>
      <c r="O27" s="89">
        <f t="shared" si="3"/>
        <v>0</v>
      </c>
      <c r="P27" s="89"/>
      <c r="Q27" s="92"/>
    </row>
    <row r="28" spans="1:21" ht="17.350000000000001" x14ac:dyDescent="0.5">
      <c r="A28" s="83" t="s">
        <v>229</v>
      </c>
      <c r="B28" s="89">
        <v>70</v>
      </c>
      <c r="C28" s="89">
        <v>80</v>
      </c>
      <c r="D28" s="89">
        <v>98.95</v>
      </c>
      <c r="E28" s="89">
        <v>75</v>
      </c>
      <c r="F28" s="89">
        <v>75</v>
      </c>
      <c r="G28" s="89">
        <v>75</v>
      </c>
      <c r="H28" s="89">
        <v>75</v>
      </c>
      <c r="I28" s="89">
        <v>75</v>
      </c>
      <c r="J28" s="89">
        <v>68.819999999999993</v>
      </c>
      <c r="K28" s="89"/>
      <c r="L28" s="89"/>
      <c r="M28" s="89">
        <v>50</v>
      </c>
      <c r="N28" s="89"/>
      <c r="O28" s="89">
        <f t="shared" si="3"/>
        <v>742.77</v>
      </c>
      <c r="P28" s="89"/>
      <c r="Q28" s="89"/>
      <c r="R28" s="77"/>
    </row>
    <row r="29" spans="1:21" ht="17.350000000000001" x14ac:dyDescent="0.5">
      <c r="A29" s="83" t="s">
        <v>221</v>
      </c>
      <c r="B29" s="89">
        <v>223.84</v>
      </c>
      <c r="C29" s="89"/>
      <c r="D29" s="89"/>
      <c r="E29" s="89"/>
      <c r="F29" s="89">
        <v>200.62</v>
      </c>
      <c r="G29" s="89">
        <v>180.57</v>
      </c>
      <c r="H29" s="89">
        <v>180.57</v>
      </c>
      <c r="I29" s="89">
        <v>181.77</v>
      </c>
      <c r="J29" s="89">
        <v>181.77</v>
      </c>
      <c r="K29" s="89">
        <v>181.77</v>
      </c>
      <c r="L29" s="89">
        <v>181.9</v>
      </c>
      <c r="M29" s="89">
        <v>0</v>
      </c>
      <c r="N29" s="89"/>
      <c r="O29" s="89">
        <f t="shared" si="3"/>
        <v>1512.81</v>
      </c>
      <c r="P29" s="89"/>
      <c r="Q29" s="89"/>
      <c r="R29" s="74"/>
      <c r="U29" s="74"/>
    </row>
    <row r="30" spans="1:21" ht="17.350000000000001" x14ac:dyDescent="0.5">
      <c r="A30" s="83" t="s">
        <v>209</v>
      </c>
      <c r="B30" s="89">
        <v>88.38</v>
      </c>
      <c r="C30" s="89">
        <v>88.38</v>
      </c>
      <c r="D30" s="89">
        <v>88</v>
      </c>
      <c r="E30" s="89">
        <v>88.25</v>
      </c>
      <c r="F30" s="89">
        <v>88.25</v>
      </c>
      <c r="G30" s="89">
        <v>88.26</v>
      </c>
      <c r="H30" s="89">
        <v>90.84</v>
      </c>
      <c r="I30" s="89">
        <v>90.84</v>
      </c>
      <c r="J30" s="89">
        <v>92.09</v>
      </c>
      <c r="K30" s="89">
        <v>92.09</v>
      </c>
      <c r="L30" s="89">
        <v>92.14</v>
      </c>
      <c r="M30" s="89">
        <v>92.14</v>
      </c>
      <c r="N30" s="89"/>
      <c r="O30" s="89">
        <f t="shared" si="3"/>
        <v>1079.6600000000001</v>
      </c>
      <c r="P30" s="89"/>
      <c r="Q30" s="89"/>
      <c r="R30" s="74"/>
    </row>
    <row r="31" spans="1:21" ht="17.350000000000001" x14ac:dyDescent="0.5">
      <c r="A31" s="83" t="s">
        <v>178</v>
      </c>
      <c r="B31" s="89">
        <v>404.9</v>
      </c>
      <c r="C31" s="89">
        <f>91.25+62</f>
        <v>153.25</v>
      </c>
      <c r="D31" s="89"/>
      <c r="E31" s="89"/>
      <c r="F31" s="89">
        <v>0</v>
      </c>
      <c r="G31" s="89"/>
      <c r="H31" s="89"/>
      <c r="I31" s="89"/>
      <c r="J31" s="89"/>
      <c r="K31" s="89"/>
      <c r="L31" s="89"/>
      <c r="M31" s="89"/>
      <c r="N31" s="89"/>
      <c r="O31" s="89">
        <f t="shared" si="3"/>
        <v>558.15</v>
      </c>
      <c r="P31" s="89"/>
      <c r="Q31" s="89"/>
    </row>
    <row r="32" spans="1:21" ht="17.350000000000001" x14ac:dyDescent="0.5">
      <c r="A32" s="83" t="s">
        <v>29</v>
      </c>
      <c r="B32" s="91">
        <v>500</v>
      </c>
      <c r="C32" s="91">
        <v>585</v>
      </c>
      <c r="D32" s="91">
        <v>585</v>
      </c>
      <c r="E32" s="91">
        <v>585</v>
      </c>
      <c r="F32" s="91">
        <v>585</v>
      </c>
      <c r="G32" s="91">
        <v>585</v>
      </c>
      <c r="H32" s="91">
        <v>585</v>
      </c>
      <c r="I32" s="91">
        <v>585</v>
      </c>
      <c r="J32" s="91">
        <v>585</v>
      </c>
      <c r="K32" s="91">
        <v>585</v>
      </c>
      <c r="L32" s="91">
        <v>585</v>
      </c>
      <c r="M32" s="91">
        <v>585</v>
      </c>
      <c r="N32" s="91"/>
      <c r="O32" s="91">
        <f t="shared" si="3"/>
        <v>6935</v>
      </c>
      <c r="P32" s="89"/>
      <c r="Q32" s="91"/>
    </row>
    <row r="33" spans="1:19" s="104" customFormat="1" ht="17.7" x14ac:dyDescent="0.55000000000000004">
      <c r="A33" s="92"/>
      <c r="B33" s="89">
        <f t="shared" ref="B33:K33" si="4">SUM(B11:B32)</f>
        <v>4114.38</v>
      </c>
      <c r="C33" s="89">
        <f t="shared" si="4"/>
        <v>2668.7799999999997</v>
      </c>
      <c r="D33" s="89">
        <f t="shared" si="4"/>
        <v>2557.06</v>
      </c>
      <c r="E33" s="89">
        <f t="shared" si="4"/>
        <v>2886.3</v>
      </c>
      <c r="F33" s="89">
        <f t="shared" si="4"/>
        <v>2502.3399999999997</v>
      </c>
      <c r="G33" s="89">
        <f t="shared" si="4"/>
        <v>2427.4899999999998</v>
      </c>
      <c r="H33" s="89">
        <f t="shared" si="4"/>
        <v>3145.1100000000006</v>
      </c>
      <c r="I33" s="89">
        <f t="shared" si="4"/>
        <v>2748.76</v>
      </c>
      <c r="J33" s="89">
        <f t="shared" si="4"/>
        <v>2728.09</v>
      </c>
      <c r="K33" s="89">
        <f t="shared" si="4"/>
        <v>3207.04</v>
      </c>
      <c r="L33" s="89">
        <f>SUM(L11:L32)</f>
        <v>2888.22</v>
      </c>
      <c r="M33" s="89">
        <f>SUM(M11:M32)</f>
        <v>2713.61</v>
      </c>
      <c r="N33" s="89"/>
      <c r="O33" s="89">
        <f>SUM(O11:O32)</f>
        <v>34587.180000000008</v>
      </c>
      <c r="P33" s="89"/>
      <c r="Q33" s="89">
        <f>SUM(Q11:Q32)</f>
        <v>0</v>
      </c>
      <c r="R33" s="104">
        <f>Q8-Q33</f>
        <v>0</v>
      </c>
    </row>
    <row r="34" spans="1:19" ht="17.7" x14ac:dyDescent="0.55000000000000004">
      <c r="A34" s="83" t="s">
        <v>129</v>
      </c>
      <c r="B34" s="89"/>
      <c r="C34" s="89"/>
      <c r="D34" s="83"/>
      <c r="E34" s="83"/>
      <c r="F34" s="83"/>
      <c r="G34" s="82"/>
      <c r="H34" s="82"/>
      <c r="I34" s="82"/>
      <c r="J34" s="82"/>
      <c r="K34" s="82"/>
      <c r="L34" s="82"/>
      <c r="M34" s="82"/>
      <c r="N34" s="82"/>
      <c r="O34" s="83"/>
      <c r="P34" s="83"/>
      <c r="Q34" s="82"/>
    </row>
    <row r="35" spans="1:19" ht="17.350000000000001" x14ac:dyDescent="0.5">
      <c r="A35" s="83" t="s">
        <v>87</v>
      </c>
      <c r="B35" s="93">
        <v>100</v>
      </c>
      <c r="C35" s="93">
        <v>100</v>
      </c>
      <c r="D35" s="93">
        <v>100</v>
      </c>
      <c r="E35" s="93">
        <v>100</v>
      </c>
      <c r="F35" s="93">
        <v>100</v>
      </c>
      <c r="G35" s="93">
        <v>50</v>
      </c>
      <c r="H35" s="93">
        <v>100</v>
      </c>
      <c r="I35" s="93">
        <v>100</v>
      </c>
      <c r="J35" s="93">
        <v>100</v>
      </c>
      <c r="K35" s="93">
        <v>100</v>
      </c>
      <c r="L35" s="93">
        <v>100</v>
      </c>
      <c r="M35" s="93">
        <v>100</v>
      </c>
      <c r="N35" s="93"/>
      <c r="O35" s="89">
        <f>SUM(B35:M35)</f>
        <v>1150</v>
      </c>
      <c r="P35" s="89"/>
      <c r="Q35" s="93"/>
    </row>
    <row r="36" spans="1:19" ht="17.350000000000001" x14ac:dyDescent="0.5">
      <c r="A36" s="83" t="s">
        <v>33</v>
      </c>
      <c r="B36" s="93">
        <v>300</v>
      </c>
      <c r="C36" s="93">
        <v>300</v>
      </c>
      <c r="D36" s="93">
        <v>300</v>
      </c>
      <c r="E36" s="93">
        <v>300</v>
      </c>
      <c r="F36" s="95">
        <v>300</v>
      </c>
      <c r="G36" s="95">
        <v>240</v>
      </c>
      <c r="H36" s="95">
        <v>200</v>
      </c>
      <c r="I36" s="95">
        <v>250</v>
      </c>
      <c r="J36" s="95">
        <v>225</v>
      </c>
      <c r="K36" s="95">
        <v>300</v>
      </c>
      <c r="L36" s="95">
        <v>300</v>
      </c>
      <c r="M36" s="95">
        <v>300</v>
      </c>
      <c r="N36" s="95"/>
      <c r="O36" s="89">
        <f>SUM(B36:M36)</f>
        <v>3315</v>
      </c>
      <c r="P36" s="89"/>
      <c r="Q36" s="95"/>
      <c r="S36" s="74"/>
    </row>
    <row r="37" spans="1:19" ht="17.350000000000001" x14ac:dyDescent="0.5">
      <c r="A37" s="83" t="s">
        <v>34</v>
      </c>
      <c r="B37" s="96">
        <v>120</v>
      </c>
      <c r="C37" s="96">
        <v>120</v>
      </c>
      <c r="D37" s="97">
        <v>120</v>
      </c>
      <c r="E37" s="97">
        <v>120</v>
      </c>
      <c r="F37" s="90">
        <v>120</v>
      </c>
      <c r="G37" s="90">
        <v>120</v>
      </c>
      <c r="H37" s="90">
        <v>75</v>
      </c>
      <c r="I37" s="90">
        <v>120</v>
      </c>
      <c r="J37" s="90">
        <v>100</v>
      </c>
      <c r="K37" s="90">
        <v>120</v>
      </c>
      <c r="L37" s="90">
        <v>120</v>
      </c>
      <c r="M37" s="90">
        <v>120</v>
      </c>
      <c r="N37" s="90"/>
      <c r="O37" s="91">
        <f>SUM(B37:M37)</f>
        <v>1375</v>
      </c>
      <c r="P37" s="89"/>
      <c r="Q37" s="90"/>
    </row>
    <row r="38" spans="1:19" ht="17.350000000000001" x14ac:dyDescent="0.5">
      <c r="A38" s="83"/>
      <c r="B38" s="94">
        <f>SUM(B35:B37)</f>
        <v>520</v>
      </c>
      <c r="C38" s="94">
        <f t="shared" ref="C38:M38" si="5">SUM(C35:C37)</f>
        <v>520</v>
      </c>
      <c r="D38" s="94">
        <f t="shared" si="5"/>
        <v>520</v>
      </c>
      <c r="E38" s="94">
        <f t="shared" si="5"/>
        <v>520</v>
      </c>
      <c r="F38" s="94">
        <f t="shared" si="5"/>
        <v>520</v>
      </c>
      <c r="G38" s="94">
        <f t="shared" si="5"/>
        <v>410</v>
      </c>
      <c r="H38" s="94">
        <f t="shared" si="5"/>
        <v>375</v>
      </c>
      <c r="I38" s="94">
        <f t="shared" si="5"/>
        <v>470</v>
      </c>
      <c r="J38" s="94">
        <f t="shared" si="5"/>
        <v>425</v>
      </c>
      <c r="K38" s="94">
        <f t="shared" si="5"/>
        <v>520</v>
      </c>
      <c r="L38" s="94">
        <f t="shared" si="5"/>
        <v>520</v>
      </c>
      <c r="M38" s="94">
        <f t="shared" si="5"/>
        <v>520</v>
      </c>
      <c r="N38" s="94"/>
      <c r="O38" s="94">
        <f>O33+SUM(O35:O37)</f>
        <v>40427.180000000008</v>
      </c>
      <c r="P38" s="94"/>
      <c r="Q38" s="94">
        <f>SUM(Q35:Q37)</f>
        <v>0</v>
      </c>
    </row>
    <row r="39" spans="1:19" ht="17.350000000000001" x14ac:dyDescent="0.5">
      <c r="A39" s="83" t="s">
        <v>130</v>
      </c>
      <c r="B39" s="88">
        <f>B33+B38</f>
        <v>4634.38</v>
      </c>
      <c r="C39" s="88">
        <f t="shared" ref="C39:M39" si="6">C33+C38</f>
        <v>3188.7799999999997</v>
      </c>
      <c r="D39" s="88">
        <f t="shared" si="6"/>
        <v>3077.06</v>
      </c>
      <c r="E39" s="88">
        <f t="shared" si="6"/>
        <v>3406.3</v>
      </c>
      <c r="F39" s="88">
        <f t="shared" si="6"/>
        <v>3022.3399999999997</v>
      </c>
      <c r="G39" s="88">
        <f t="shared" si="6"/>
        <v>2837.49</v>
      </c>
      <c r="H39" s="88">
        <f t="shared" si="6"/>
        <v>3520.1100000000006</v>
      </c>
      <c r="I39" s="88">
        <f t="shared" si="6"/>
        <v>3218.76</v>
      </c>
      <c r="J39" s="88">
        <f t="shared" si="6"/>
        <v>3153.09</v>
      </c>
      <c r="K39" s="88">
        <f t="shared" si="6"/>
        <v>3727.04</v>
      </c>
      <c r="L39" s="88">
        <f t="shared" si="6"/>
        <v>3408.22</v>
      </c>
      <c r="M39" s="88">
        <f t="shared" si="6"/>
        <v>3233.61</v>
      </c>
      <c r="N39" s="88"/>
      <c r="O39" s="89">
        <f>SUM(B39:M39)</f>
        <v>40427.18</v>
      </c>
      <c r="P39" s="89"/>
      <c r="Q39" s="88"/>
      <c r="S39" s="74"/>
    </row>
    <row r="40" spans="1:19" ht="17.7" x14ac:dyDescent="0.55000000000000004">
      <c r="A40" s="82"/>
      <c r="B40" s="89">
        <f>B8-B39</f>
        <v>-1094.58</v>
      </c>
      <c r="C40" s="99">
        <f t="shared" ref="C40:K40" si="7">C8-C39</f>
        <v>335.22000000000025</v>
      </c>
      <c r="D40" s="99">
        <f t="shared" si="7"/>
        <v>446.94000000000005</v>
      </c>
      <c r="E40" s="99">
        <f t="shared" si="7"/>
        <v>117.69999999999982</v>
      </c>
      <c r="F40" s="99">
        <f t="shared" si="7"/>
        <v>501.66000000000031</v>
      </c>
      <c r="G40" s="99">
        <f t="shared" si="7"/>
        <v>586.51000000000022</v>
      </c>
      <c r="H40" s="99">
        <f t="shared" si="7"/>
        <v>565.88999999999942</v>
      </c>
      <c r="I40" s="99">
        <f t="shared" si="7"/>
        <v>305.23999999999978</v>
      </c>
      <c r="J40" s="99">
        <f t="shared" si="7"/>
        <v>370.90999999999985</v>
      </c>
      <c r="K40" s="99">
        <f t="shared" si="7"/>
        <v>442.96000000000004</v>
      </c>
      <c r="L40" s="99">
        <f>L8-L39</f>
        <v>115.7800000000002</v>
      </c>
      <c r="M40" s="99">
        <f>M8-M39</f>
        <v>334.38999999999987</v>
      </c>
      <c r="N40" s="99"/>
      <c r="O40" s="89">
        <f>SUM(B40:M40)</f>
        <v>3028.62</v>
      </c>
      <c r="P40" s="89"/>
      <c r="Q40" s="99"/>
      <c r="S40" s="74"/>
    </row>
    <row r="41" spans="1:19" ht="17.7" x14ac:dyDescent="0.55000000000000004">
      <c r="A41" s="83"/>
      <c r="B41" s="83"/>
      <c r="C41" s="83"/>
      <c r="D41" s="83"/>
      <c r="E41" s="83"/>
      <c r="F41" s="83"/>
      <c r="G41" s="83"/>
      <c r="H41" s="82"/>
      <c r="I41" s="82"/>
      <c r="J41" s="83"/>
      <c r="K41" s="83"/>
      <c r="L41" s="83"/>
      <c r="M41" s="83"/>
      <c r="N41" s="83"/>
      <c r="O41" s="83"/>
      <c r="P41" s="83"/>
      <c r="Q41" s="88"/>
    </row>
    <row r="42" spans="1:19" ht="17.7" x14ac:dyDescent="0.55000000000000004">
      <c r="A42" s="83" t="s">
        <v>207</v>
      </c>
      <c r="B42" s="83"/>
      <c r="C42" s="99"/>
      <c r="D42" s="98"/>
      <c r="E42" s="83"/>
      <c r="F42" s="83"/>
      <c r="G42" s="98"/>
      <c r="H42" s="83"/>
      <c r="I42" s="83"/>
      <c r="J42" s="100"/>
      <c r="K42" s="82"/>
      <c r="L42" s="83"/>
      <c r="M42" s="83"/>
      <c r="N42" s="83"/>
      <c r="O42" s="83"/>
      <c r="P42" s="83"/>
      <c r="Q42" s="83"/>
    </row>
    <row r="43" spans="1:19" ht="17.350000000000001" x14ac:dyDescent="0.5">
      <c r="A43" s="83" t="s">
        <v>206</v>
      </c>
      <c r="B43" s="83" t="s">
        <v>91</v>
      </c>
      <c r="C43" s="83"/>
      <c r="D43" s="83"/>
      <c r="E43" s="83"/>
      <c r="F43" s="83"/>
      <c r="G43" s="83"/>
      <c r="H43" s="83"/>
      <c r="I43" s="83"/>
      <c r="J43" s="99"/>
      <c r="K43" s="83"/>
      <c r="L43" s="83"/>
      <c r="M43" s="83"/>
      <c r="N43" s="83"/>
      <c r="O43" s="83"/>
      <c r="P43" s="83"/>
      <c r="Q43" s="83"/>
      <c r="R43" s="79"/>
    </row>
    <row r="44" spans="1:19" ht="17.7" x14ac:dyDescent="0.55000000000000004">
      <c r="A44" s="83" t="s">
        <v>222</v>
      </c>
      <c r="B44" s="83"/>
      <c r="C44" s="83"/>
      <c r="D44" s="83"/>
      <c r="E44" s="83"/>
      <c r="F44" s="83"/>
      <c r="G44" s="99"/>
      <c r="H44" s="99"/>
      <c r="I44" s="99"/>
      <c r="J44" s="83"/>
      <c r="K44" s="83"/>
      <c r="L44" s="83"/>
      <c r="M44" s="83"/>
      <c r="N44" s="83"/>
      <c r="O44" s="83"/>
      <c r="P44" s="83"/>
      <c r="Q44" s="82"/>
      <c r="R44" s="79"/>
    </row>
    <row r="45" spans="1:19" ht="17.7" x14ac:dyDescent="0.55000000000000004">
      <c r="A45" s="83" t="s">
        <v>223</v>
      </c>
      <c r="B45" s="83"/>
      <c r="C45" s="83"/>
      <c r="D45" s="83"/>
      <c r="E45" s="83"/>
      <c r="F45" s="83"/>
      <c r="G45" s="83"/>
      <c r="H45" s="83"/>
      <c r="I45" s="82"/>
      <c r="J45" s="83"/>
      <c r="K45" s="83"/>
      <c r="L45" s="83"/>
      <c r="M45" s="83"/>
      <c r="N45" s="83"/>
      <c r="O45" s="83"/>
      <c r="P45" s="83"/>
      <c r="Q45" s="83"/>
      <c r="R45" s="79"/>
    </row>
    <row r="46" spans="1:19" ht="17.350000000000001" x14ac:dyDescent="0.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83"/>
      <c r="O46" s="83"/>
      <c r="P46" s="83"/>
      <c r="Q46" s="83"/>
    </row>
    <row r="47" spans="1:19" ht="17.7" x14ac:dyDescent="0.55000000000000004">
      <c r="A47" s="82" t="s">
        <v>205</v>
      </c>
      <c r="B47" s="101">
        <v>7509.39</v>
      </c>
      <c r="C47" s="99"/>
      <c r="D47" s="99"/>
      <c r="E47" s="99"/>
      <c r="F47" s="99"/>
      <c r="G47" s="99"/>
      <c r="H47" s="99"/>
      <c r="I47" s="99"/>
      <c r="J47" s="89"/>
      <c r="K47" s="83"/>
      <c r="L47" s="83"/>
      <c r="M47" s="83"/>
      <c r="N47" s="83"/>
      <c r="O47" s="83"/>
      <c r="P47" s="83"/>
      <c r="Q47" s="83"/>
    </row>
    <row r="48" spans="1:19" ht="17.350000000000001" x14ac:dyDescent="0.5">
      <c r="A48" s="83" t="s">
        <v>104</v>
      </c>
      <c r="B48" s="89">
        <v>-1126.4100000000001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</row>
    <row r="49" spans="1:17" ht="17.350000000000001" x14ac:dyDescent="0.5">
      <c r="A49" s="83" t="s">
        <v>103</v>
      </c>
      <c r="B49" s="102">
        <v>-382.98</v>
      </c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</row>
    <row r="50" spans="1:17" ht="17.350000000000001" x14ac:dyDescent="0.5">
      <c r="A50" s="83" t="s">
        <v>171</v>
      </c>
      <c r="B50" s="99">
        <v>6000</v>
      </c>
      <c r="C50" s="99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</row>
    <row r="51" spans="1:17" ht="17.350000000000001" x14ac:dyDescent="0.5">
      <c r="A51" s="83"/>
      <c r="B51" s="83"/>
      <c r="C51" s="83"/>
      <c r="D51" s="98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</row>
    <row r="52" spans="1:17" ht="17.7" x14ac:dyDescent="0.55000000000000004">
      <c r="A52" s="82" t="s">
        <v>220</v>
      </c>
      <c r="B52" s="101">
        <v>8380.23</v>
      </c>
      <c r="C52" s="83"/>
      <c r="D52" s="98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ht="17.350000000000001" x14ac:dyDescent="0.5">
      <c r="A53" s="83" t="s">
        <v>104</v>
      </c>
      <c r="B53" s="89">
        <v>-1257.03</v>
      </c>
      <c r="C53" s="83"/>
      <c r="D53" s="98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7" ht="17.350000000000001" x14ac:dyDescent="0.5">
      <c r="A54" s="83" t="s">
        <v>103</v>
      </c>
      <c r="B54" s="102">
        <v>-423.2</v>
      </c>
      <c r="C54" s="83"/>
      <c r="D54" s="98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1:17" ht="17.350000000000001" x14ac:dyDescent="0.5">
      <c r="A55" s="83" t="s">
        <v>224</v>
      </c>
      <c r="B55" s="101">
        <f>SUM(B52:B54)</f>
        <v>6700</v>
      </c>
      <c r="C55" s="83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  <row r="56" spans="1:17" ht="17.350000000000001" x14ac:dyDescent="0.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17" ht="17.7" x14ac:dyDescent="0.55000000000000004">
      <c r="A57" s="82" t="s">
        <v>225</v>
      </c>
      <c r="B57" s="101">
        <v>5628.52</v>
      </c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</row>
    <row r="58" spans="1:17" ht="17.350000000000001" x14ac:dyDescent="0.5">
      <c r="A58" s="83" t="s">
        <v>104</v>
      </c>
      <c r="B58" s="89">
        <v>-844.28</v>
      </c>
      <c r="C58" s="83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1:17" ht="17.350000000000001" x14ac:dyDescent="0.5">
      <c r="A59" s="83" t="s">
        <v>103</v>
      </c>
      <c r="B59" s="91">
        <v>-284.24</v>
      </c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7" ht="17.350000000000001" x14ac:dyDescent="0.5">
      <c r="A60" s="83" t="s">
        <v>226</v>
      </c>
      <c r="B60" s="101">
        <f>SUM(B57:B59)</f>
        <v>4500.0000000000009</v>
      </c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1:17" ht="17.350000000000001" x14ac:dyDescent="0.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</row>
    <row r="62" spans="1:17" ht="17.350000000000001" x14ac:dyDescent="0.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</row>
    <row r="63" spans="1:17" ht="17.350000000000001" x14ac:dyDescent="0.5">
      <c r="A63" s="105">
        <v>43609</v>
      </c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</row>
    <row r="64" spans="1:17" ht="17.350000000000001" x14ac:dyDescent="0.5">
      <c r="A64" s="105" t="s">
        <v>70</v>
      </c>
      <c r="B64" s="88">
        <v>812</v>
      </c>
      <c r="C64" s="113"/>
      <c r="D64" s="83"/>
      <c r="E64" s="89"/>
      <c r="F64" s="83"/>
      <c r="G64" s="83">
        <v>75</v>
      </c>
      <c r="H64" s="83">
        <v>75</v>
      </c>
      <c r="I64" s="83">
        <v>75</v>
      </c>
      <c r="J64" s="83">
        <v>75</v>
      </c>
      <c r="K64" s="83">
        <v>75</v>
      </c>
      <c r="L64" s="83">
        <v>75</v>
      </c>
      <c r="M64" s="83">
        <v>75</v>
      </c>
      <c r="N64" s="83"/>
      <c r="O64" s="89">
        <f>B64-SUM(H64:M64)</f>
        <v>362</v>
      </c>
      <c r="P64" s="83"/>
      <c r="Q64" s="83"/>
    </row>
    <row r="65" spans="1:17" ht="17.350000000000001" x14ac:dyDescent="0.5">
      <c r="A65" s="83"/>
      <c r="B65" s="88"/>
      <c r="C65" s="113"/>
      <c r="D65" s="98"/>
      <c r="E65" s="89"/>
      <c r="F65" s="83"/>
      <c r="G65" s="83"/>
      <c r="H65" s="83"/>
      <c r="I65" s="83"/>
      <c r="J65" s="83"/>
      <c r="K65" s="83"/>
      <c r="L65" s="83"/>
      <c r="M65" s="83"/>
      <c r="N65" s="83"/>
      <c r="O65" s="89"/>
      <c r="P65" s="83"/>
      <c r="Q65" s="83"/>
    </row>
    <row r="66" spans="1:17" ht="17.350000000000001" x14ac:dyDescent="0.5">
      <c r="A66" s="83" t="s">
        <v>169</v>
      </c>
      <c r="B66" s="88">
        <v>2075</v>
      </c>
      <c r="C66" s="113"/>
      <c r="D66" s="98"/>
      <c r="E66" s="89"/>
      <c r="F66" s="83"/>
      <c r="G66" s="83">
        <v>200</v>
      </c>
      <c r="H66" s="83">
        <v>200</v>
      </c>
      <c r="I66" s="83">
        <v>200</v>
      </c>
      <c r="J66" s="83">
        <v>200</v>
      </c>
      <c r="K66" s="83">
        <v>200</v>
      </c>
      <c r="L66" s="83">
        <v>200</v>
      </c>
      <c r="M66" s="83">
        <v>200</v>
      </c>
      <c r="N66" s="83"/>
      <c r="O66" s="89">
        <f>B66-SUM(D66:M66)</f>
        <v>675</v>
      </c>
      <c r="P66" s="83"/>
      <c r="Q66" s="83"/>
    </row>
    <row r="67" spans="1:17" ht="17.350000000000001" x14ac:dyDescent="0.5">
      <c r="A67" s="83" t="s">
        <v>168</v>
      </c>
      <c r="B67" s="88">
        <v>6847</v>
      </c>
      <c r="C67" s="113"/>
      <c r="D67" s="98"/>
      <c r="E67" s="89"/>
      <c r="F67" s="83"/>
      <c r="G67" s="83">
        <v>350</v>
      </c>
      <c r="H67" s="83">
        <v>350</v>
      </c>
      <c r="I67" s="83">
        <v>350</v>
      </c>
      <c r="J67" s="83">
        <v>350</v>
      </c>
      <c r="K67" s="83">
        <v>350</v>
      </c>
      <c r="L67" s="83">
        <v>350</v>
      </c>
      <c r="M67" s="83">
        <v>350</v>
      </c>
      <c r="N67" s="83"/>
      <c r="O67" s="89">
        <f>B67-SUM(D67:M67)</f>
        <v>4397</v>
      </c>
      <c r="P67" s="83"/>
      <c r="Q67" s="83"/>
    </row>
    <row r="68" spans="1:17" ht="17.7" x14ac:dyDescent="0.55000000000000004">
      <c r="A68" s="83" t="s">
        <v>180</v>
      </c>
      <c r="B68" s="88">
        <v>160</v>
      </c>
      <c r="C68" s="113"/>
      <c r="D68" s="98"/>
      <c r="E68" s="89"/>
      <c r="F68" s="83"/>
      <c r="G68" s="83">
        <v>30</v>
      </c>
      <c r="H68" s="83">
        <v>30</v>
      </c>
      <c r="I68" s="83">
        <v>30</v>
      </c>
      <c r="J68" s="83">
        <v>30</v>
      </c>
      <c r="K68" s="83">
        <v>30</v>
      </c>
      <c r="L68" s="83">
        <v>10</v>
      </c>
      <c r="M68" s="83"/>
      <c r="N68" s="83"/>
      <c r="O68" s="89">
        <f>B68-SUM(D68:M68)</f>
        <v>0</v>
      </c>
      <c r="P68" s="103"/>
      <c r="Q68" s="83"/>
    </row>
    <row r="69" spans="1:17" ht="17.7" x14ac:dyDescent="0.55000000000000004">
      <c r="A69" s="83" t="s">
        <v>203</v>
      </c>
      <c r="B69" s="89">
        <f>368.82-75</f>
        <v>293.82</v>
      </c>
      <c r="C69" s="82"/>
      <c r="D69" s="98"/>
      <c r="E69" s="89"/>
      <c r="F69" s="83"/>
      <c r="G69" s="83">
        <v>75</v>
      </c>
      <c r="H69" s="83">
        <v>75</v>
      </c>
      <c r="I69" s="83">
        <v>75</v>
      </c>
      <c r="J69" s="83">
        <v>68.819999999999993</v>
      </c>
      <c r="K69" s="83"/>
      <c r="L69" s="83"/>
      <c r="M69" s="83"/>
      <c r="N69" s="83"/>
      <c r="O69" s="89">
        <f>B69-SUM(D69:M69)</f>
        <v>0</v>
      </c>
      <c r="P69" s="83"/>
      <c r="Q69" s="83"/>
    </row>
    <row r="70" spans="1:17" ht="17.7" x14ac:dyDescent="0.55000000000000004">
      <c r="A70" s="83" t="s">
        <v>44</v>
      </c>
      <c r="B70" s="89">
        <f>SUM(B64:B69)</f>
        <v>10187.82</v>
      </c>
      <c r="C70" s="89">
        <f>SUM(C64:C69)</f>
        <v>0</v>
      </c>
      <c r="D70" s="89"/>
      <c r="E70" s="89"/>
      <c r="F70" s="88">
        <f>SUM(F65:F68)</f>
        <v>0</v>
      </c>
      <c r="G70" s="88">
        <f>SUM(G65:G68)</f>
        <v>580</v>
      </c>
      <c r="H70" s="88">
        <f>SUM(H65:H68)</f>
        <v>580</v>
      </c>
      <c r="I70" s="88">
        <f t="shared" ref="I70:O70" si="8">SUM(I65:I68)</f>
        <v>580</v>
      </c>
      <c r="J70" s="88">
        <f t="shared" si="8"/>
        <v>580</v>
      </c>
      <c r="K70" s="88">
        <f t="shared" si="8"/>
        <v>580</v>
      </c>
      <c r="L70" s="88">
        <f t="shared" si="8"/>
        <v>560</v>
      </c>
      <c r="M70" s="88">
        <f t="shared" si="8"/>
        <v>550</v>
      </c>
      <c r="N70" s="88"/>
      <c r="O70" s="89">
        <f t="shared" si="8"/>
        <v>5072</v>
      </c>
      <c r="P70" s="82"/>
      <c r="Q70" s="83"/>
    </row>
    <row r="71" spans="1:17" ht="17.350000000000001" x14ac:dyDescent="0.5">
      <c r="A71" s="83"/>
      <c r="B71" s="83"/>
      <c r="C71" s="83"/>
      <c r="D71" s="83"/>
      <c r="E71" s="83"/>
      <c r="F71" s="83"/>
      <c r="G71" s="83"/>
      <c r="H71" s="83"/>
      <c r="I71" s="83"/>
      <c r="J71" s="83"/>
      <c r="K71" s="83"/>
      <c r="L71" s="83"/>
      <c r="M71" s="83"/>
      <c r="N71" s="83"/>
      <c r="O71" s="83"/>
      <c r="P71" s="83"/>
      <c r="Q71" s="83"/>
    </row>
    <row r="73" spans="1:17" ht="17.350000000000001" x14ac:dyDescent="0.5">
      <c r="A73" s="83"/>
      <c r="B73" s="83"/>
      <c r="C73" s="83"/>
      <c r="F73" s="78"/>
    </row>
    <row r="74" spans="1:17" ht="17.350000000000001" x14ac:dyDescent="0.5">
      <c r="A74" s="83"/>
      <c r="B74" s="83"/>
      <c r="C74" s="83"/>
      <c r="F74" s="78"/>
    </row>
    <row r="75" spans="1:17" ht="17.350000000000001" x14ac:dyDescent="0.5">
      <c r="A75" s="83"/>
      <c r="B75" s="83"/>
      <c r="C75" s="83"/>
      <c r="F75" s="77"/>
    </row>
    <row r="76" spans="1:17" ht="17.350000000000001" x14ac:dyDescent="0.5">
      <c r="A76" s="83"/>
      <c r="B76" s="83"/>
      <c r="C76" s="83"/>
      <c r="F76" s="77"/>
    </row>
    <row r="77" spans="1:17" ht="17.350000000000001" x14ac:dyDescent="0.5">
      <c r="A77" s="83"/>
      <c r="B77" s="83"/>
      <c r="C77" s="83"/>
    </row>
    <row r="78" spans="1:17" ht="17.350000000000001" x14ac:dyDescent="0.5">
      <c r="A78" s="83"/>
      <c r="B78" s="83"/>
      <c r="C78" s="83"/>
      <c r="D78" s="74"/>
    </row>
    <row r="79" spans="1:17" ht="17.350000000000001" x14ac:dyDescent="0.5">
      <c r="A79" s="83"/>
      <c r="B79" s="83"/>
      <c r="C79" s="83"/>
    </row>
  </sheetData>
  <pageMargins left="0.25" right="0" top="0.5" bottom="1" header="0.5" footer="0.5"/>
  <pageSetup scale="60" orientation="landscape" r:id="rId1"/>
  <headerFooter alignWithMargins="0"/>
  <rowBreaks count="1" manualBreakCount="1">
    <brk id="40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B8A90E-23D8-4286-B885-ABD8F1DDAB05}">
  <dimension ref="A1:U81"/>
  <sheetViews>
    <sheetView zoomScale="70" zoomScaleNormal="70" workbookViewId="0">
      <pane ySplit="1" topLeftCell="A31" activePane="bottomLeft" state="frozen"/>
      <selection pane="bottomLeft" activeCell="P15" sqref="P15"/>
    </sheetView>
  </sheetViews>
  <sheetFormatPr defaultColWidth="9.05859375" defaultRowHeight="15" x14ac:dyDescent="0.45"/>
  <cols>
    <col min="1" max="1" width="35" style="75" customWidth="1"/>
    <col min="2" max="2" width="14.5859375" style="75" customWidth="1"/>
    <col min="3" max="3" width="3.3515625" style="75" customWidth="1"/>
    <col min="4" max="4" width="13.41015625" style="75" customWidth="1"/>
    <col min="5" max="5" width="13.29296875" style="75" customWidth="1"/>
    <col min="6" max="6" width="13.8203125" style="75" customWidth="1"/>
    <col min="7" max="7" width="14.3515625" style="75" customWidth="1"/>
    <col min="8" max="8" width="14.46875" style="75" customWidth="1"/>
    <col min="9" max="9" width="13.64453125" style="75" customWidth="1"/>
    <col min="10" max="10" width="15" style="75" customWidth="1"/>
    <col min="11" max="11" width="12.46875" style="75" customWidth="1"/>
    <col min="12" max="12" width="13.52734375" style="75" customWidth="1"/>
    <col min="13" max="13" width="14.46875" style="75" customWidth="1"/>
    <col min="14" max="14" width="14.17578125" style="75" customWidth="1"/>
    <col min="15" max="15" width="15.29296875" style="75" customWidth="1"/>
    <col min="16" max="16" width="12.1171875" style="75" customWidth="1"/>
    <col min="17" max="17" width="14.1171875" style="75" customWidth="1"/>
    <col min="18" max="18" width="13.46875" style="75" customWidth="1"/>
    <col min="19" max="16384" width="9.05859375" style="75"/>
  </cols>
  <sheetData>
    <row r="1" spans="1:17" ht="17.7" x14ac:dyDescent="0.55000000000000004">
      <c r="A1" s="82" t="s">
        <v>30</v>
      </c>
      <c r="B1" s="84" t="s">
        <v>40</v>
      </c>
      <c r="C1" s="84"/>
      <c r="D1" s="85" t="s">
        <v>43</v>
      </c>
      <c r="E1" s="84" t="s">
        <v>50</v>
      </c>
      <c r="F1" s="84" t="s">
        <v>51</v>
      </c>
      <c r="G1" s="84" t="s">
        <v>46</v>
      </c>
      <c r="H1" s="89">
        <v>30</v>
      </c>
      <c r="I1" s="84" t="s">
        <v>0</v>
      </c>
      <c r="J1" s="84" t="s">
        <v>3</v>
      </c>
      <c r="K1" s="84" t="s">
        <v>10</v>
      </c>
      <c r="L1" s="84" t="s">
        <v>11</v>
      </c>
      <c r="M1" s="84" t="s">
        <v>12</v>
      </c>
      <c r="N1" s="84" t="s">
        <v>13</v>
      </c>
      <c r="O1" s="84" t="s">
        <v>44</v>
      </c>
      <c r="P1" s="86"/>
      <c r="Q1" s="83"/>
    </row>
    <row r="2" spans="1:17" ht="17.7" x14ac:dyDescent="0.55000000000000004">
      <c r="A2" s="82" t="s">
        <v>77</v>
      </c>
      <c r="B2" s="86"/>
      <c r="C2" s="86"/>
      <c r="D2" s="83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3"/>
    </row>
    <row r="3" spans="1:17" ht="17.350000000000001" x14ac:dyDescent="0.5">
      <c r="A3" s="83" t="s">
        <v>125</v>
      </c>
      <c r="B3" s="88">
        <v>1703.8</v>
      </c>
      <c r="C3" s="88"/>
      <c r="D3" s="88">
        <v>1703.8</v>
      </c>
      <c r="E3" s="88">
        <v>1703.8</v>
      </c>
      <c r="F3" s="88">
        <v>1703.8</v>
      </c>
      <c r="G3" s="88">
        <v>1703.8</v>
      </c>
      <c r="H3" s="88">
        <v>1703.8</v>
      </c>
      <c r="I3" s="88">
        <v>1703.8</v>
      </c>
      <c r="J3" s="88">
        <v>1703.8</v>
      </c>
      <c r="K3" s="88">
        <v>1703.8</v>
      </c>
      <c r="L3" s="88">
        <v>1703.8</v>
      </c>
      <c r="M3" s="88">
        <v>1703.8</v>
      </c>
      <c r="N3" s="88">
        <v>1703.8</v>
      </c>
      <c r="O3" s="89">
        <f t="shared" ref="O3:O8" si="0">SUM(B3:N3)</f>
        <v>20445.599999999995</v>
      </c>
      <c r="P3" s="89"/>
      <c r="Q3" s="89"/>
    </row>
    <row r="4" spans="1:17" ht="17.350000000000001" x14ac:dyDescent="0.5">
      <c r="A4" s="83" t="s">
        <v>126</v>
      </c>
      <c r="B4" s="88">
        <v>400</v>
      </c>
      <c r="C4" s="88" t="s">
        <v>91</v>
      </c>
      <c r="D4" s="88">
        <v>400</v>
      </c>
      <c r="E4" s="88">
        <v>400</v>
      </c>
      <c r="F4" s="88">
        <v>400</v>
      </c>
      <c r="G4" s="88">
        <v>400</v>
      </c>
      <c r="H4" s="88">
        <v>400</v>
      </c>
      <c r="I4" s="88">
        <v>400</v>
      </c>
      <c r="J4" s="88">
        <v>400</v>
      </c>
      <c r="K4" s="88">
        <v>400</v>
      </c>
      <c r="L4" s="88">
        <v>400</v>
      </c>
      <c r="M4" s="88">
        <v>400</v>
      </c>
      <c r="N4" s="88">
        <v>400</v>
      </c>
      <c r="O4" s="89">
        <f t="shared" si="0"/>
        <v>4800</v>
      </c>
      <c r="P4" s="89"/>
      <c r="Q4" s="83"/>
    </row>
    <row r="5" spans="1:17" ht="17.350000000000001" x14ac:dyDescent="0.5">
      <c r="A5" s="83" t="s">
        <v>127</v>
      </c>
      <c r="B5" s="88">
        <v>500</v>
      </c>
      <c r="C5" s="88"/>
      <c r="D5" s="88">
        <v>500</v>
      </c>
      <c r="E5" s="88">
        <v>500</v>
      </c>
      <c r="F5" s="88">
        <v>500</v>
      </c>
      <c r="G5" s="88">
        <v>500</v>
      </c>
      <c r="H5" s="88">
        <v>500</v>
      </c>
      <c r="I5" s="88">
        <v>500</v>
      </c>
      <c r="J5" s="88">
        <v>500</v>
      </c>
      <c r="K5" s="88">
        <v>500</v>
      </c>
      <c r="L5" s="88">
        <v>500</v>
      </c>
      <c r="M5" s="88">
        <v>500</v>
      </c>
      <c r="N5" s="88">
        <v>500</v>
      </c>
      <c r="O5" s="89">
        <f t="shared" si="0"/>
        <v>6000</v>
      </c>
      <c r="P5" s="89"/>
      <c r="Q5" s="89"/>
    </row>
    <row r="6" spans="1:17" ht="17.350000000000001" x14ac:dyDescent="0.5">
      <c r="A6" s="83" t="s">
        <v>166</v>
      </c>
      <c r="B6" s="88">
        <v>625</v>
      </c>
      <c r="C6" s="88" t="s">
        <v>91</v>
      </c>
      <c r="D6" s="88">
        <v>625</v>
      </c>
      <c r="E6" s="88">
        <v>625</v>
      </c>
      <c r="F6" s="88">
        <v>625</v>
      </c>
      <c r="G6" s="88">
        <v>625</v>
      </c>
      <c r="H6" s="88">
        <v>625</v>
      </c>
      <c r="I6" s="88">
        <v>625</v>
      </c>
      <c r="J6" s="88">
        <v>625</v>
      </c>
      <c r="K6" s="88">
        <v>625</v>
      </c>
      <c r="L6" s="88">
        <v>625</v>
      </c>
      <c r="M6" s="88">
        <v>625</v>
      </c>
      <c r="N6" s="88">
        <v>625</v>
      </c>
      <c r="O6" s="89">
        <f t="shared" si="0"/>
        <v>7500</v>
      </c>
      <c r="P6" s="89"/>
      <c r="Q6" s="98"/>
    </row>
    <row r="7" spans="1:17" ht="17.350000000000001" x14ac:dyDescent="0.5">
      <c r="A7" s="83" t="s">
        <v>179</v>
      </c>
      <c r="B7" s="90">
        <v>311</v>
      </c>
      <c r="C7" s="90"/>
      <c r="D7" s="90">
        <v>305</v>
      </c>
      <c r="E7" s="90">
        <v>305</v>
      </c>
      <c r="F7" s="90">
        <v>305</v>
      </c>
      <c r="G7" s="90">
        <v>305</v>
      </c>
      <c r="H7" s="90">
        <v>305</v>
      </c>
      <c r="I7" s="90">
        <v>305</v>
      </c>
      <c r="J7" s="90">
        <v>305</v>
      </c>
      <c r="K7" s="90">
        <v>305</v>
      </c>
      <c r="L7" s="90">
        <v>305</v>
      </c>
      <c r="M7" s="90">
        <v>305</v>
      </c>
      <c r="N7" s="90">
        <v>311</v>
      </c>
      <c r="O7" s="91">
        <f t="shared" si="0"/>
        <v>3672</v>
      </c>
      <c r="P7" s="89"/>
      <c r="Q7" s="83"/>
    </row>
    <row r="8" spans="1:17" ht="17.350000000000001" x14ac:dyDescent="0.5">
      <c r="A8" s="83" t="s">
        <v>44</v>
      </c>
      <c r="B8" s="88">
        <f>SUM(B3:B7)</f>
        <v>3539.8</v>
      </c>
      <c r="C8" s="88"/>
      <c r="D8" s="88">
        <f t="shared" ref="D8:N8" si="1">SUM(D3:D7)</f>
        <v>3533.8</v>
      </c>
      <c r="E8" s="88">
        <f t="shared" si="1"/>
        <v>3533.8</v>
      </c>
      <c r="F8" s="88">
        <f t="shared" si="1"/>
        <v>3533.8</v>
      </c>
      <c r="G8" s="88">
        <f t="shared" si="1"/>
        <v>3533.8</v>
      </c>
      <c r="H8" s="88">
        <f t="shared" si="1"/>
        <v>3533.8</v>
      </c>
      <c r="I8" s="88">
        <f t="shared" si="1"/>
        <v>3533.8</v>
      </c>
      <c r="J8" s="88">
        <f t="shared" si="1"/>
        <v>3533.8</v>
      </c>
      <c r="K8" s="88">
        <f t="shared" si="1"/>
        <v>3533.8</v>
      </c>
      <c r="L8" s="88">
        <f t="shared" si="1"/>
        <v>3533.8</v>
      </c>
      <c r="M8" s="88">
        <f t="shared" si="1"/>
        <v>3533.8</v>
      </c>
      <c r="N8" s="88">
        <f t="shared" si="1"/>
        <v>3539.8</v>
      </c>
      <c r="O8" s="89">
        <f t="shared" si="0"/>
        <v>42417.600000000006</v>
      </c>
      <c r="P8" s="89">
        <f>SUM(P3:P7)</f>
        <v>0</v>
      </c>
      <c r="Q8" s="89">
        <f>SUM(Q3:Q7)</f>
        <v>0</v>
      </c>
    </row>
    <row r="9" spans="1:17" ht="17.7" x14ac:dyDescent="0.55000000000000004">
      <c r="A9" s="83"/>
      <c r="B9" s="86"/>
      <c r="C9" s="86"/>
      <c r="D9" s="83"/>
      <c r="E9" s="86"/>
      <c r="F9" s="86"/>
      <c r="G9" s="86"/>
      <c r="H9" s="86"/>
      <c r="I9" s="86"/>
      <c r="J9" s="86"/>
      <c r="K9" s="86"/>
      <c r="L9" s="86"/>
      <c r="M9" s="86"/>
      <c r="N9" s="87"/>
      <c r="O9" s="86"/>
      <c r="P9" s="86"/>
      <c r="Q9" s="83"/>
    </row>
    <row r="10" spans="1:17" ht="17.7" x14ac:dyDescent="0.55000000000000004">
      <c r="A10" s="82" t="s">
        <v>128</v>
      </c>
      <c r="B10" s="86"/>
      <c r="C10" s="86"/>
      <c r="D10" s="83"/>
      <c r="E10" s="86"/>
      <c r="F10" s="86"/>
      <c r="G10" s="86"/>
      <c r="H10" s="86"/>
      <c r="I10" s="86"/>
      <c r="J10" s="86"/>
      <c r="K10" s="86"/>
      <c r="L10" s="86"/>
      <c r="M10" s="86"/>
      <c r="N10" s="87"/>
      <c r="O10" s="86"/>
      <c r="P10" s="86"/>
      <c r="Q10" s="83"/>
    </row>
    <row r="11" spans="1:17" ht="15.75" customHeight="1" x14ac:dyDescent="0.5">
      <c r="A11" s="83" t="s">
        <v>182</v>
      </c>
      <c r="B11" s="89">
        <v>50</v>
      </c>
      <c r="C11" s="89"/>
      <c r="D11" s="89">
        <v>50</v>
      </c>
      <c r="E11" s="89">
        <v>50</v>
      </c>
      <c r="F11" s="89">
        <v>50</v>
      </c>
      <c r="G11" s="89">
        <v>50</v>
      </c>
      <c r="H11" s="89">
        <v>50</v>
      </c>
      <c r="I11" s="89">
        <v>50</v>
      </c>
      <c r="J11" s="89">
        <v>50</v>
      </c>
      <c r="K11" s="89">
        <v>50</v>
      </c>
      <c r="L11" s="89">
        <v>50</v>
      </c>
      <c r="M11" s="89">
        <v>50</v>
      </c>
      <c r="N11" s="89">
        <v>50</v>
      </c>
      <c r="O11" s="89">
        <f t="shared" ref="O11:O22" si="2">SUM(B11:N11)</f>
        <v>600</v>
      </c>
      <c r="P11" s="89"/>
      <c r="Q11" s="89"/>
    </row>
    <row r="12" spans="1:17" ht="15.75" customHeight="1" x14ac:dyDescent="0.5">
      <c r="A12" s="83" t="s">
        <v>184</v>
      </c>
      <c r="B12" s="89">
        <v>80</v>
      </c>
      <c r="C12" s="89"/>
      <c r="D12" s="89">
        <v>70</v>
      </c>
      <c r="E12" s="89">
        <v>70</v>
      </c>
      <c r="F12" s="89">
        <v>50</v>
      </c>
      <c r="G12" s="89">
        <v>50</v>
      </c>
      <c r="H12" s="89">
        <v>80</v>
      </c>
      <c r="I12" s="89">
        <v>80</v>
      </c>
      <c r="J12" s="89">
        <v>80</v>
      </c>
      <c r="K12" s="89">
        <v>50</v>
      </c>
      <c r="L12" s="89">
        <v>80.42</v>
      </c>
      <c r="M12" s="89">
        <v>80</v>
      </c>
      <c r="N12" s="89">
        <v>80</v>
      </c>
      <c r="O12" s="89">
        <f t="shared" si="2"/>
        <v>850.42</v>
      </c>
      <c r="P12" s="89"/>
      <c r="Q12" s="89"/>
    </row>
    <row r="13" spans="1:17" ht="17.350000000000001" x14ac:dyDescent="0.5">
      <c r="A13" s="83" t="s">
        <v>188</v>
      </c>
      <c r="B13" s="89">
        <v>562.04999999999995</v>
      </c>
      <c r="C13" s="89"/>
      <c r="D13" s="89"/>
      <c r="E13" s="89"/>
      <c r="F13" s="89">
        <v>562.04999999999995</v>
      </c>
      <c r="G13" s="89"/>
      <c r="H13" s="89">
        <v>562.04999999999995</v>
      </c>
      <c r="I13" s="89"/>
      <c r="J13" s="89"/>
      <c r="K13" s="89"/>
      <c r="L13" s="89">
        <v>562.04999999999995</v>
      </c>
      <c r="M13" s="89"/>
      <c r="N13" s="89"/>
      <c r="O13" s="89">
        <f t="shared" si="2"/>
        <v>2248.1999999999998</v>
      </c>
      <c r="P13" s="89"/>
      <c r="Q13" s="89"/>
    </row>
    <row r="14" spans="1:17" ht="17.350000000000001" x14ac:dyDescent="0.5">
      <c r="A14" s="83" t="s">
        <v>189</v>
      </c>
      <c r="B14" s="89">
        <v>120</v>
      </c>
      <c r="C14" s="89"/>
      <c r="D14" s="89">
        <v>70</v>
      </c>
      <c r="E14" s="89">
        <v>70</v>
      </c>
      <c r="F14" s="89">
        <v>80</v>
      </c>
      <c r="G14" s="89">
        <v>50</v>
      </c>
      <c r="H14" s="89">
        <v>80</v>
      </c>
      <c r="I14" s="89">
        <v>80</v>
      </c>
      <c r="J14" s="89">
        <v>80</v>
      </c>
      <c r="K14" s="89">
        <v>100</v>
      </c>
      <c r="L14" s="89">
        <v>100</v>
      </c>
      <c r="M14" s="89">
        <v>80</v>
      </c>
      <c r="N14" s="89">
        <v>80</v>
      </c>
      <c r="O14" s="89">
        <f t="shared" si="2"/>
        <v>990</v>
      </c>
      <c r="P14" s="89"/>
      <c r="Q14" s="89"/>
    </row>
    <row r="15" spans="1:17" ht="20.350000000000001" customHeight="1" x14ac:dyDescent="0.5">
      <c r="A15" s="83" t="s">
        <v>190</v>
      </c>
      <c r="B15" s="89">
        <v>300</v>
      </c>
      <c r="C15" s="89"/>
      <c r="D15" s="89">
        <v>500</v>
      </c>
      <c r="E15" s="89">
        <v>500</v>
      </c>
      <c r="F15" s="89">
        <v>110</v>
      </c>
      <c r="G15" s="89">
        <v>125</v>
      </c>
      <c r="H15" s="89">
        <v>200</v>
      </c>
      <c r="I15" s="89">
        <v>200</v>
      </c>
      <c r="J15" s="89">
        <v>350</v>
      </c>
      <c r="K15" s="89">
        <v>300</v>
      </c>
      <c r="L15" s="89">
        <v>160</v>
      </c>
      <c r="M15" s="89">
        <v>300</v>
      </c>
      <c r="N15" s="89">
        <v>300</v>
      </c>
      <c r="O15" s="89">
        <f t="shared" si="2"/>
        <v>3345</v>
      </c>
      <c r="P15" s="89"/>
      <c r="Q15" s="89"/>
    </row>
    <row r="16" spans="1:17" ht="19.7" customHeight="1" x14ac:dyDescent="0.5">
      <c r="A16" s="83" t="s">
        <v>88</v>
      </c>
      <c r="B16" s="89">
        <v>311</v>
      </c>
      <c r="C16" s="89"/>
      <c r="D16" s="89">
        <v>311</v>
      </c>
      <c r="E16" s="89">
        <v>311</v>
      </c>
      <c r="F16" s="89">
        <v>311</v>
      </c>
      <c r="G16" s="89">
        <v>311</v>
      </c>
      <c r="H16" s="89">
        <v>311</v>
      </c>
      <c r="I16" s="89">
        <v>311</v>
      </c>
      <c r="J16" s="89">
        <v>311</v>
      </c>
      <c r="K16" s="89">
        <v>311</v>
      </c>
      <c r="L16" s="89">
        <v>311</v>
      </c>
      <c r="M16" s="89">
        <v>311</v>
      </c>
      <c r="N16" s="89">
        <v>311</v>
      </c>
      <c r="O16" s="89">
        <f t="shared" si="2"/>
        <v>3732</v>
      </c>
      <c r="P16" s="89"/>
      <c r="Q16" s="89"/>
    </row>
    <row r="17" spans="1:21" ht="19.7" customHeight="1" x14ac:dyDescent="0.55000000000000004">
      <c r="A17" s="83" t="s">
        <v>132</v>
      </c>
      <c r="B17" s="89">
        <v>606</v>
      </c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92"/>
      <c r="O17" s="89">
        <f t="shared" si="2"/>
        <v>606</v>
      </c>
      <c r="P17" s="89">
        <f>N18+N21+N24+N16</f>
        <v>492.28999999999996</v>
      </c>
      <c r="Q17" s="89"/>
    </row>
    <row r="18" spans="1:21" ht="17.350000000000001" x14ac:dyDescent="0.5">
      <c r="A18" s="83" t="s">
        <v>201</v>
      </c>
      <c r="B18" s="89">
        <v>101.71</v>
      </c>
      <c r="C18" s="89"/>
      <c r="D18" s="89">
        <v>80.17</v>
      </c>
      <c r="E18" s="89">
        <v>91.11</v>
      </c>
      <c r="F18" s="89">
        <v>71.11</v>
      </c>
      <c r="G18" s="89">
        <v>81.11</v>
      </c>
      <c r="H18" s="89"/>
      <c r="I18" s="89"/>
      <c r="J18" s="89"/>
      <c r="K18" s="89">
        <v>8</v>
      </c>
      <c r="L18" s="89">
        <v>2.2999999999999998</v>
      </c>
      <c r="M18" s="89">
        <v>137.66</v>
      </c>
      <c r="N18" s="89">
        <v>97.63</v>
      </c>
      <c r="O18" s="89">
        <f t="shared" si="2"/>
        <v>670.80000000000007</v>
      </c>
      <c r="P18" s="89"/>
      <c r="Q18" s="89"/>
    </row>
    <row r="19" spans="1:21" ht="17.350000000000001" x14ac:dyDescent="0.5">
      <c r="A19" s="83" t="s">
        <v>191</v>
      </c>
      <c r="B19" s="89">
        <v>50</v>
      </c>
      <c r="C19" s="89"/>
      <c r="D19" s="89">
        <v>86.1</v>
      </c>
      <c r="E19" s="89">
        <v>97.95</v>
      </c>
      <c r="F19" s="89">
        <v>93.53</v>
      </c>
      <c r="G19" s="89">
        <v>63.13</v>
      </c>
      <c r="H19" s="89">
        <v>23.36</v>
      </c>
      <c r="I19" s="89">
        <v>22.43</v>
      </c>
      <c r="J19" s="89">
        <v>26.32</v>
      </c>
      <c r="K19" s="89">
        <v>25.57</v>
      </c>
      <c r="L19" s="89">
        <v>27.34</v>
      </c>
      <c r="M19" s="89">
        <v>32.840000000000003</v>
      </c>
      <c r="N19" s="89">
        <v>109.05</v>
      </c>
      <c r="O19" s="89">
        <f t="shared" si="2"/>
        <v>657.62</v>
      </c>
      <c r="P19" s="89"/>
      <c r="Q19" s="89"/>
    </row>
    <row r="20" spans="1:21" ht="18.350000000000001" customHeight="1" x14ac:dyDescent="0.5">
      <c r="A20" s="83" t="s">
        <v>183</v>
      </c>
      <c r="B20" s="89">
        <v>325</v>
      </c>
      <c r="C20" s="89"/>
      <c r="D20" s="89">
        <v>311</v>
      </c>
      <c r="E20" s="89">
        <v>318</v>
      </c>
      <c r="F20" s="89">
        <v>318</v>
      </c>
      <c r="G20" s="89">
        <v>318</v>
      </c>
      <c r="H20" s="89">
        <v>318</v>
      </c>
      <c r="I20" s="89">
        <v>318</v>
      </c>
      <c r="J20" s="89">
        <v>318</v>
      </c>
      <c r="K20" s="89">
        <v>318</v>
      </c>
      <c r="L20" s="89">
        <v>318</v>
      </c>
      <c r="M20" s="89">
        <v>318</v>
      </c>
      <c r="N20" s="89">
        <v>318</v>
      </c>
      <c r="O20" s="89">
        <f t="shared" si="2"/>
        <v>3816</v>
      </c>
      <c r="P20" s="89"/>
      <c r="Q20" s="89"/>
    </row>
    <row r="21" spans="1:21" ht="18.350000000000001" customHeight="1" x14ac:dyDescent="0.5">
      <c r="A21" s="83" t="s">
        <v>199</v>
      </c>
      <c r="B21" s="89">
        <v>30</v>
      </c>
      <c r="C21" s="89"/>
      <c r="D21" s="89">
        <v>30</v>
      </c>
      <c r="E21" s="89">
        <v>30</v>
      </c>
      <c r="F21" s="89">
        <v>30</v>
      </c>
      <c r="G21" s="89">
        <v>30</v>
      </c>
      <c r="H21" s="89">
        <v>30</v>
      </c>
      <c r="I21" s="89">
        <v>30</v>
      </c>
      <c r="J21" s="89">
        <v>30</v>
      </c>
      <c r="K21" s="89">
        <v>30</v>
      </c>
      <c r="L21" s="89">
        <v>30</v>
      </c>
      <c r="M21" s="89">
        <v>30</v>
      </c>
      <c r="N21" s="89">
        <v>30</v>
      </c>
      <c r="O21" s="89">
        <f t="shared" si="2"/>
        <v>360</v>
      </c>
      <c r="P21" s="89"/>
      <c r="Q21" s="89"/>
    </row>
    <row r="22" spans="1:21" ht="15" customHeight="1" x14ac:dyDescent="0.5">
      <c r="A22" s="83" t="s">
        <v>202</v>
      </c>
      <c r="B22" s="89">
        <v>50</v>
      </c>
      <c r="C22" s="89"/>
      <c r="D22" s="89">
        <v>70</v>
      </c>
      <c r="E22" s="89">
        <v>70</v>
      </c>
      <c r="F22" s="89">
        <v>80</v>
      </c>
      <c r="G22" s="89">
        <v>100</v>
      </c>
      <c r="H22" s="89">
        <v>342</v>
      </c>
      <c r="I22" s="89">
        <v>252</v>
      </c>
      <c r="J22" s="89">
        <v>252</v>
      </c>
      <c r="K22" s="89">
        <v>252</v>
      </c>
      <c r="L22" s="89">
        <v>252.88</v>
      </c>
      <c r="M22" s="89">
        <v>252</v>
      </c>
      <c r="N22" s="89">
        <v>293</v>
      </c>
      <c r="O22" s="89">
        <f t="shared" si="2"/>
        <v>2265.88</v>
      </c>
      <c r="P22" s="89"/>
      <c r="Q22" s="89"/>
    </row>
    <row r="23" spans="1:21" ht="15" customHeight="1" x14ac:dyDescent="0.5">
      <c r="A23" s="83" t="s">
        <v>163</v>
      </c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</row>
    <row r="24" spans="1:21" ht="17.350000000000001" x14ac:dyDescent="0.5">
      <c r="A24" s="83" t="s">
        <v>192</v>
      </c>
      <c r="B24" s="89">
        <v>75</v>
      </c>
      <c r="C24" s="89"/>
      <c r="D24" s="93">
        <v>82.23</v>
      </c>
      <c r="E24" s="89">
        <v>38.35</v>
      </c>
      <c r="F24" s="89">
        <v>42.36</v>
      </c>
      <c r="G24" s="89">
        <v>42.36</v>
      </c>
      <c r="H24" s="89">
        <v>215.21</v>
      </c>
      <c r="I24" s="89">
        <v>193.73</v>
      </c>
      <c r="J24" s="89">
        <v>209.82</v>
      </c>
      <c r="K24" s="89">
        <v>211.75</v>
      </c>
      <c r="L24" s="89">
        <v>141.74</v>
      </c>
      <c r="M24" s="89">
        <v>164.75</v>
      </c>
      <c r="N24" s="89">
        <v>53.66</v>
      </c>
      <c r="O24" s="89">
        <f t="shared" ref="O24:O32" si="3">SUM(B24:N24)</f>
        <v>1470.96</v>
      </c>
      <c r="P24" s="89"/>
      <c r="Q24" s="89"/>
    </row>
    <row r="25" spans="1:21" ht="17.350000000000001" x14ac:dyDescent="0.5">
      <c r="A25" s="83" t="s">
        <v>36</v>
      </c>
      <c r="B25" s="89">
        <v>133</v>
      </c>
      <c r="C25" s="89"/>
      <c r="D25" s="89"/>
      <c r="E25" s="89"/>
      <c r="F25" s="89"/>
      <c r="G25" s="89">
        <v>0</v>
      </c>
      <c r="H25" s="89"/>
      <c r="I25" s="89">
        <v>125</v>
      </c>
      <c r="J25" s="89">
        <v>125</v>
      </c>
      <c r="K25" s="89">
        <v>125</v>
      </c>
      <c r="L25" s="89">
        <v>100</v>
      </c>
      <c r="M25" s="89">
        <v>125</v>
      </c>
      <c r="N25" s="89">
        <v>125</v>
      </c>
      <c r="O25" s="89">
        <f t="shared" si="3"/>
        <v>858</v>
      </c>
      <c r="P25" s="89"/>
      <c r="Q25" s="89"/>
    </row>
    <row r="26" spans="1:21" ht="17.7" x14ac:dyDescent="0.55000000000000004">
      <c r="A26" s="83" t="s">
        <v>193</v>
      </c>
      <c r="B26" s="89">
        <v>33.67</v>
      </c>
      <c r="C26" s="89"/>
      <c r="D26" s="89"/>
      <c r="E26" s="89"/>
      <c r="F26" s="89"/>
      <c r="G26" s="92">
        <v>0</v>
      </c>
      <c r="H26" s="89"/>
      <c r="I26" s="89">
        <v>0</v>
      </c>
      <c r="J26" s="89"/>
      <c r="K26" s="89">
        <v>50</v>
      </c>
      <c r="L26" s="89">
        <v>50</v>
      </c>
      <c r="M26" s="89">
        <v>50</v>
      </c>
      <c r="N26" s="89">
        <v>51</v>
      </c>
      <c r="O26" s="89">
        <f t="shared" si="3"/>
        <v>234.67000000000002</v>
      </c>
      <c r="P26" s="89"/>
      <c r="Q26" s="89"/>
    </row>
    <row r="27" spans="1:21" ht="17.7" x14ac:dyDescent="0.55000000000000004">
      <c r="A27" s="83" t="s">
        <v>159</v>
      </c>
      <c r="B27" s="89">
        <v>650</v>
      </c>
      <c r="C27" s="89"/>
      <c r="D27" s="89"/>
      <c r="E27" s="89"/>
      <c r="F27" s="89"/>
      <c r="G27" s="92"/>
      <c r="H27" s="89"/>
      <c r="I27" s="89"/>
      <c r="J27" s="89"/>
      <c r="K27" s="89"/>
      <c r="L27" s="92"/>
      <c r="M27" s="89"/>
      <c r="N27" s="89"/>
      <c r="O27" s="89">
        <f t="shared" si="3"/>
        <v>650</v>
      </c>
      <c r="P27" s="89"/>
      <c r="Q27" s="92"/>
    </row>
    <row r="28" spans="1:21" ht="17.350000000000001" x14ac:dyDescent="0.5">
      <c r="A28" s="83" t="s">
        <v>194</v>
      </c>
      <c r="B28" s="89">
        <v>70</v>
      </c>
      <c r="C28" s="89"/>
      <c r="D28" s="89">
        <v>50</v>
      </c>
      <c r="E28" s="89">
        <v>42</v>
      </c>
      <c r="F28" s="89"/>
      <c r="G28" s="89"/>
      <c r="H28" s="89"/>
      <c r="I28" s="89"/>
      <c r="J28" s="89"/>
      <c r="K28" s="89"/>
      <c r="L28" s="89">
        <v>50</v>
      </c>
      <c r="M28" s="89">
        <v>50</v>
      </c>
      <c r="N28" s="89">
        <v>50</v>
      </c>
      <c r="O28" s="89">
        <f t="shared" si="3"/>
        <v>312</v>
      </c>
      <c r="P28" s="89"/>
      <c r="Q28" s="89"/>
    </row>
    <row r="29" spans="1:21" ht="17.350000000000001" x14ac:dyDescent="0.5">
      <c r="A29" s="83" t="s">
        <v>195</v>
      </c>
      <c r="B29" s="89">
        <v>223.84</v>
      </c>
      <c r="C29" s="89"/>
      <c r="D29" s="89"/>
      <c r="E29" s="89"/>
      <c r="F29" s="89"/>
      <c r="G29" s="89">
        <v>182.19</v>
      </c>
      <c r="H29" s="89">
        <v>182.39</v>
      </c>
      <c r="I29" s="89">
        <v>182.39</v>
      </c>
      <c r="J29" s="89">
        <v>176.91</v>
      </c>
      <c r="K29" s="89">
        <v>175.44</v>
      </c>
      <c r="L29" s="89">
        <v>175.44</v>
      </c>
      <c r="M29" s="89">
        <v>175.91</v>
      </c>
      <c r="N29" s="89"/>
      <c r="O29" s="89">
        <f t="shared" si="3"/>
        <v>1474.51</v>
      </c>
      <c r="P29" s="89"/>
      <c r="Q29" s="89"/>
      <c r="R29" s="74"/>
      <c r="U29" s="74"/>
    </row>
    <row r="30" spans="1:21" ht="17.350000000000001" x14ac:dyDescent="0.5">
      <c r="A30" s="83" t="s">
        <v>196</v>
      </c>
      <c r="B30" s="89">
        <v>95.63</v>
      </c>
      <c r="C30" s="89"/>
      <c r="D30" s="89">
        <v>95.63</v>
      </c>
      <c r="E30" s="89">
        <v>95.94</v>
      </c>
      <c r="F30" s="89">
        <v>94.89</v>
      </c>
      <c r="G30" s="89">
        <v>95.46</v>
      </c>
      <c r="H30" s="89">
        <v>95.46</v>
      </c>
      <c r="I30" s="89">
        <v>95.21</v>
      </c>
      <c r="J30" s="89">
        <v>93.17</v>
      </c>
      <c r="K30" s="89">
        <v>91.05</v>
      </c>
      <c r="L30" s="89">
        <v>97.32</v>
      </c>
      <c r="M30" s="89">
        <v>82.32</v>
      </c>
      <c r="N30" s="89">
        <v>87.32</v>
      </c>
      <c r="O30" s="89">
        <f t="shared" si="3"/>
        <v>1119.3999999999999</v>
      </c>
      <c r="P30" s="89"/>
      <c r="Q30" s="89"/>
      <c r="R30" s="74"/>
    </row>
    <row r="31" spans="1:21" ht="17.350000000000001" x14ac:dyDescent="0.5">
      <c r="A31" s="83" t="s">
        <v>200</v>
      </c>
      <c r="B31" s="89">
        <f>158+410.9</f>
        <v>568.9</v>
      </c>
      <c r="C31" s="89"/>
      <c r="D31" s="89">
        <v>152.5</v>
      </c>
      <c r="E31" s="89"/>
      <c r="F31" s="89"/>
      <c r="G31" s="89">
        <v>0</v>
      </c>
      <c r="H31" s="89"/>
      <c r="I31" s="89"/>
      <c r="J31" s="89"/>
      <c r="K31" s="89"/>
      <c r="L31" s="89"/>
      <c r="M31" s="89"/>
      <c r="N31" s="89"/>
      <c r="O31" s="89">
        <f t="shared" si="3"/>
        <v>721.4</v>
      </c>
      <c r="P31" s="89"/>
      <c r="Q31" s="89"/>
    </row>
    <row r="32" spans="1:21" ht="17.350000000000001" x14ac:dyDescent="0.5">
      <c r="A32" s="83" t="s">
        <v>29</v>
      </c>
      <c r="B32" s="91">
        <v>585</v>
      </c>
      <c r="C32" s="91"/>
      <c r="D32" s="91">
        <v>585</v>
      </c>
      <c r="E32" s="91">
        <v>585</v>
      </c>
      <c r="F32" s="91">
        <v>585</v>
      </c>
      <c r="G32" s="91">
        <v>585</v>
      </c>
      <c r="H32" s="91">
        <v>585</v>
      </c>
      <c r="I32" s="91">
        <v>585</v>
      </c>
      <c r="J32" s="91">
        <v>585</v>
      </c>
      <c r="K32" s="91">
        <v>585</v>
      </c>
      <c r="L32" s="91">
        <v>585</v>
      </c>
      <c r="M32" s="91">
        <v>585</v>
      </c>
      <c r="N32" s="91">
        <v>585</v>
      </c>
      <c r="O32" s="91">
        <f t="shared" si="3"/>
        <v>7020</v>
      </c>
      <c r="P32" s="89"/>
      <c r="Q32" s="91"/>
    </row>
    <row r="33" spans="1:19" s="104" customFormat="1" ht="17.7" x14ac:dyDescent="0.55000000000000004">
      <c r="A33" s="92"/>
      <c r="B33" s="89">
        <f t="shared" ref="B33:K33" si="4">SUM(B11:B32)</f>
        <v>5020.8</v>
      </c>
      <c r="C33" s="89"/>
      <c r="D33" s="89">
        <f t="shared" si="4"/>
        <v>2543.63</v>
      </c>
      <c r="E33" s="89">
        <f t="shared" si="4"/>
        <v>2369.35</v>
      </c>
      <c r="F33" s="89">
        <f t="shared" si="4"/>
        <v>2477.9399999999996</v>
      </c>
      <c r="G33" s="89">
        <f t="shared" si="4"/>
        <v>2083.25</v>
      </c>
      <c r="H33" s="89">
        <f t="shared" si="4"/>
        <v>3074.47</v>
      </c>
      <c r="I33" s="89">
        <f t="shared" si="4"/>
        <v>2524.7599999999998</v>
      </c>
      <c r="J33" s="89">
        <f t="shared" si="4"/>
        <v>2687.2200000000003</v>
      </c>
      <c r="K33" s="89">
        <f t="shared" si="4"/>
        <v>2682.8100000000004</v>
      </c>
      <c r="L33" s="89">
        <f>SUM(L11:L32)</f>
        <v>3093.49</v>
      </c>
      <c r="M33" s="89">
        <f>SUM(M11:M32)</f>
        <v>2824.48</v>
      </c>
      <c r="N33" s="89">
        <f>SUM(N11:N32)</f>
        <v>2620.66</v>
      </c>
      <c r="O33" s="89">
        <f>SUM(O11:O32)</f>
        <v>34002.86</v>
      </c>
      <c r="P33" s="89">
        <f>SUM(P11:P32)</f>
        <v>492.28999999999996</v>
      </c>
      <c r="Q33" s="89"/>
      <c r="R33" s="104">
        <f>Q8-Q33</f>
        <v>0</v>
      </c>
    </row>
    <row r="34" spans="1:19" ht="17.7" x14ac:dyDescent="0.55000000000000004">
      <c r="A34" s="83" t="s">
        <v>129</v>
      </c>
      <c r="B34" s="89"/>
      <c r="C34" s="89"/>
      <c r="D34" s="89"/>
      <c r="E34" s="83"/>
      <c r="F34" s="83"/>
      <c r="G34" s="83"/>
      <c r="H34" s="82"/>
      <c r="I34" s="82"/>
      <c r="J34" s="82"/>
      <c r="K34" s="82"/>
      <c r="L34" s="82"/>
      <c r="M34" s="82"/>
      <c r="N34" s="82"/>
      <c r="O34" s="83"/>
      <c r="P34" s="82"/>
      <c r="Q34" s="82"/>
    </row>
    <row r="35" spans="1:19" ht="17.350000000000001" x14ac:dyDescent="0.5">
      <c r="A35" s="83" t="s">
        <v>87</v>
      </c>
      <c r="B35" s="93">
        <v>100</v>
      </c>
      <c r="C35" s="93"/>
      <c r="D35" s="93">
        <v>100</v>
      </c>
      <c r="E35" s="93">
        <v>100</v>
      </c>
      <c r="F35" s="93">
        <v>100</v>
      </c>
      <c r="G35" s="93">
        <v>100</v>
      </c>
      <c r="H35" s="93">
        <v>50</v>
      </c>
      <c r="I35" s="93">
        <v>100</v>
      </c>
      <c r="J35" s="93">
        <v>100</v>
      </c>
      <c r="K35" s="93">
        <v>100</v>
      </c>
      <c r="L35" s="93">
        <v>100</v>
      </c>
      <c r="M35" s="93">
        <v>100</v>
      </c>
      <c r="N35" s="93">
        <v>100</v>
      </c>
      <c r="O35" s="89">
        <f>SUM(B35:N35)</f>
        <v>1150</v>
      </c>
      <c r="P35" s="89"/>
      <c r="Q35" s="93"/>
    </row>
    <row r="36" spans="1:19" ht="17.350000000000001" x14ac:dyDescent="0.5">
      <c r="A36" s="83" t="s">
        <v>33</v>
      </c>
      <c r="B36" s="93">
        <v>300</v>
      </c>
      <c r="C36" s="93"/>
      <c r="D36" s="93">
        <v>300</v>
      </c>
      <c r="E36" s="93">
        <v>300</v>
      </c>
      <c r="F36" s="93">
        <v>300</v>
      </c>
      <c r="G36" s="95">
        <v>300</v>
      </c>
      <c r="H36" s="95">
        <v>240</v>
      </c>
      <c r="I36" s="95">
        <v>200</v>
      </c>
      <c r="J36" s="95">
        <v>250</v>
      </c>
      <c r="K36" s="95">
        <v>225</v>
      </c>
      <c r="L36" s="95">
        <v>300</v>
      </c>
      <c r="M36" s="95">
        <v>300</v>
      </c>
      <c r="N36" s="95">
        <v>300</v>
      </c>
      <c r="O36" s="89">
        <f>SUM(B36:N36)</f>
        <v>3315</v>
      </c>
      <c r="P36" s="89"/>
      <c r="Q36" s="95"/>
      <c r="S36" s="74"/>
    </row>
    <row r="37" spans="1:19" ht="17.350000000000001" x14ac:dyDescent="0.5">
      <c r="A37" s="83" t="s">
        <v>34</v>
      </c>
      <c r="B37" s="96">
        <v>120</v>
      </c>
      <c r="C37" s="96"/>
      <c r="D37" s="96">
        <v>120</v>
      </c>
      <c r="E37" s="97">
        <v>120</v>
      </c>
      <c r="F37" s="97">
        <v>120</v>
      </c>
      <c r="G37" s="90">
        <v>120</v>
      </c>
      <c r="H37" s="90">
        <v>120</v>
      </c>
      <c r="I37" s="90">
        <v>75</v>
      </c>
      <c r="J37" s="90">
        <v>120</v>
      </c>
      <c r="K37" s="90">
        <v>100</v>
      </c>
      <c r="L37" s="90">
        <v>120</v>
      </c>
      <c r="M37" s="90">
        <v>120</v>
      </c>
      <c r="N37" s="90">
        <v>120</v>
      </c>
      <c r="O37" s="91">
        <f>SUM(B37:N37)</f>
        <v>1375</v>
      </c>
      <c r="P37" s="89"/>
      <c r="Q37" s="90"/>
    </row>
    <row r="38" spans="1:19" ht="17.350000000000001" x14ac:dyDescent="0.5">
      <c r="A38" s="83"/>
      <c r="B38" s="94">
        <f>SUM(B35:B37)</f>
        <v>520</v>
      </c>
      <c r="C38" s="94"/>
      <c r="D38" s="94">
        <f t="shared" ref="D38:N38" si="5">SUM(D35:D37)</f>
        <v>520</v>
      </c>
      <c r="E38" s="94">
        <f t="shared" si="5"/>
        <v>520</v>
      </c>
      <c r="F38" s="94">
        <f t="shared" si="5"/>
        <v>520</v>
      </c>
      <c r="G38" s="94">
        <f t="shared" si="5"/>
        <v>520</v>
      </c>
      <c r="H38" s="94">
        <f t="shared" si="5"/>
        <v>410</v>
      </c>
      <c r="I38" s="94">
        <f t="shared" si="5"/>
        <v>375</v>
      </c>
      <c r="J38" s="94">
        <f t="shared" si="5"/>
        <v>470</v>
      </c>
      <c r="K38" s="94">
        <f t="shared" si="5"/>
        <v>425</v>
      </c>
      <c r="L38" s="94">
        <f>SUM(L35:L37)</f>
        <v>520</v>
      </c>
      <c r="M38" s="94">
        <f t="shared" si="5"/>
        <v>520</v>
      </c>
      <c r="N38" s="94">
        <f t="shared" si="5"/>
        <v>520</v>
      </c>
      <c r="O38" s="94">
        <f>O33+SUM(O35:O37)</f>
        <v>39842.86</v>
      </c>
      <c r="P38" s="94"/>
      <c r="Q38" s="94">
        <f>SUM(Q35:Q37)</f>
        <v>0</v>
      </c>
    </row>
    <row r="39" spans="1:19" ht="17.350000000000001" x14ac:dyDescent="0.5">
      <c r="A39" s="83" t="s">
        <v>130</v>
      </c>
      <c r="B39" s="88">
        <f>B33+B38</f>
        <v>5540.8</v>
      </c>
      <c r="C39" s="88"/>
      <c r="D39" s="88">
        <f t="shared" ref="D39:N39" si="6">D33+D38</f>
        <v>3063.63</v>
      </c>
      <c r="E39" s="88">
        <f t="shared" si="6"/>
        <v>2889.35</v>
      </c>
      <c r="F39" s="88">
        <f t="shared" si="6"/>
        <v>2997.9399999999996</v>
      </c>
      <c r="G39" s="88">
        <f t="shared" si="6"/>
        <v>2603.25</v>
      </c>
      <c r="H39" s="88">
        <f t="shared" si="6"/>
        <v>3484.47</v>
      </c>
      <c r="I39" s="88">
        <f t="shared" si="6"/>
        <v>2899.7599999999998</v>
      </c>
      <c r="J39" s="88">
        <f t="shared" si="6"/>
        <v>3157.2200000000003</v>
      </c>
      <c r="K39" s="88">
        <f t="shared" si="6"/>
        <v>3107.8100000000004</v>
      </c>
      <c r="L39" s="88">
        <f t="shared" si="6"/>
        <v>3613.49</v>
      </c>
      <c r="M39" s="88">
        <f t="shared" si="6"/>
        <v>3344.48</v>
      </c>
      <c r="N39" s="88">
        <f t="shared" si="6"/>
        <v>3140.66</v>
      </c>
      <c r="O39" s="89">
        <f>SUM(B39:N39)</f>
        <v>39842.86</v>
      </c>
      <c r="P39" s="89"/>
      <c r="Q39" s="88"/>
      <c r="S39" s="74"/>
    </row>
    <row r="40" spans="1:19" ht="17.7" x14ac:dyDescent="0.55000000000000004">
      <c r="A40" s="82"/>
      <c r="B40" s="89">
        <f t="shared" ref="B40:K40" si="7">B8-B39</f>
        <v>-2001</v>
      </c>
      <c r="C40" s="89"/>
      <c r="D40" s="99">
        <f t="shared" si="7"/>
        <v>470.17000000000007</v>
      </c>
      <c r="E40" s="99">
        <f t="shared" si="7"/>
        <v>644.45000000000027</v>
      </c>
      <c r="F40" s="99">
        <f t="shared" si="7"/>
        <v>535.86000000000058</v>
      </c>
      <c r="G40" s="99">
        <f t="shared" si="7"/>
        <v>930.55000000000018</v>
      </c>
      <c r="H40" s="99">
        <f t="shared" si="7"/>
        <v>49.330000000000382</v>
      </c>
      <c r="I40" s="99">
        <f t="shared" si="7"/>
        <v>634.04000000000042</v>
      </c>
      <c r="J40" s="99">
        <f t="shared" si="7"/>
        <v>376.57999999999993</v>
      </c>
      <c r="K40" s="99">
        <f t="shared" si="7"/>
        <v>425.98999999999978</v>
      </c>
      <c r="L40" s="99">
        <f>L8-L39</f>
        <v>-79.6899999999996</v>
      </c>
      <c r="M40" s="99">
        <f>M8-M39</f>
        <v>189.32000000000016</v>
      </c>
      <c r="N40" s="99">
        <f>N8-N39</f>
        <v>399.14000000000033</v>
      </c>
      <c r="O40" s="89">
        <f>SUM(B40:N40)</f>
        <v>2574.7400000000025</v>
      </c>
      <c r="P40" s="89"/>
      <c r="Q40" s="99"/>
      <c r="S40" s="74"/>
    </row>
    <row r="41" spans="1:19" ht="17.7" x14ac:dyDescent="0.55000000000000004">
      <c r="A41" s="83"/>
      <c r="B41" s="83"/>
      <c r="C41" s="83"/>
      <c r="D41" s="83"/>
      <c r="E41" s="83"/>
      <c r="F41" s="83"/>
      <c r="G41" s="83"/>
      <c r="H41" s="83"/>
      <c r="I41" s="82"/>
      <c r="J41" s="82"/>
      <c r="K41" s="83"/>
      <c r="L41" s="83"/>
      <c r="M41" s="83"/>
      <c r="N41" s="83"/>
      <c r="O41" s="83"/>
      <c r="P41" s="83"/>
      <c r="Q41" s="88"/>
    </row>
    <row r="42" spans="1:19" ht="17.7" x14ac:dyDescent="0.55000000000000004">
      <c r="A42" s="83" t="s">
        <v>174</v>
      </c>
      <c r="B42" s="83"/>
      <c r="C42" s="83"/>
      <c r="D42" s="83"/>
      <c r="E42" s="83"/>
      <c r="F42" s="83"/>
      <c r="G42" s="83"/>
      <c r="H42" s="98"/>
      <c r="I42" s="83"/>
      <c r="J42" s="83"/>
      <c r="K42" s="100"/>
      <c r="L42" s="82"/>
      <c r="M42" s="83"/>
      <c r="N42" s="83"/>
      <c r="O42" s="83"/>
      <c r="P42" s="83"/>
      <c r="Q42" s="83"/>
    </row>
    <row r="43" spans="1:19" ht="17.350000000000001" x14ac:dyDescent="0.5">
      <c r="A43" s="83" t="s">
        <v>175</v>
      </c>
      <c r="B43" s="83"/>
      <c r="C43" s="83"/>
      <c r="D43" s="83"/>
      <c r="E43" s="83"/>
      <c r="F43" s="83"/>
      <c r="G43" s="83"/>
      <c r="H43" s="83"/>
      <c r="I43" s="83"/>
      <c r="J43" s="83"/>
      <c r="K43" s="99"/>
      <c r="L43" s="83"/>
      <c r="M43" s="83"/>
      <c r="N43" s="83"/>
      <c r="O43" s="83"/>
      <c r="P43" s="83"/>
      <c r="Q43" s="83"/>
      <c r="R43" s="79"/>
    </row>
    <row r="44" spans="1:19" ht="17.7" x14ac:dyDescent="0.55000000000000004">
      <c r="A44" s="83" t="s">
        <v>176</v>
      </c>
      <c r="B44" s="83"/>
      <c r="C44" s="83"/>
      <c r="D44" s="83"/>
      <c r="E44" s="83"/>
      <c r="F44" s="83"/>
      <c r="G44" s="83"/>
      <c r="H44" s="99"/>
      <c r="I44" s="99"/>
      <c r="J44" s="99"/>
      <c r="K44" s="83"/>
      <c r="L44" s="83"/>
      <c r="M44" s="83"/>
      <c r="N44" s="83"/>
      <c r="O44" s="83"/>
      <c r="P44" s="83"/>
      <c r="Q44" s="82"/>
      <c r="R44" s="79"/>
    </row>
    <row r="45" spans="1:19" ht="17.7" x14ac:dyDescent="0.55000000000000004">
      <c r="A45" s="83" t="s">
        <v>177</v>
      </c>
      <c r="B45" s="83" t="s">
        <v>91</v>
      </c>
      <c r="C45" s="83"/>
      <c r="D45" s="83"/>
      <c r="E45" s="83"/>
      <c r="F45" s="83"/>
      <c r="G45" s="83"/>
      <c r="H45" s="83"/>
      <c r="I45" s="83"/>
      <c r="J45" s="82"/>
      <c r="K45" s="83"/>
      <c r="L45" s="83"/>
      <c r="M45" s="83"/>
      <c r="N45" s="83"/>
      <c r="O45" s="83" t="s">
        <v>197</v>
      </c>
      <c r="P45" s="83"/>
      <c r="Q45" s="83"/>
      <c r="R45" s="79"/>
    </row>
    <row r="46" spans="1:19" ht="17.350000000000001" x14ac:dyDescent="0.5">
      <c r="A46" s="83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3"/>
      <c r="N46" s="106"/>
      <c r="O46" s="99">
        <f>18656+20445+6000</f>
        <v>45101</v>
      </c>
      <c r="P46" s="83"/>
      <c r="Q46" s="83"/>
    </row>
    <row r="47" spans="1:19" ht="17.7" x14ac:dyDescent="0.55000000000000004">
      <c r="A47" s="82" t="s">
        <v>170</v>
      </c>
      <c r="B47" s="101">
        <v>7759.69</v>
      </c>
      <c r="C47" s="101"/>
      <c r="D47" s="101"/>
      <c r="E47" s="99"/>
      <c r="F47" s="99"/>
      <c r="G47" s="99"/>
      <c r="H47" s="99"/>
      <c r="I47" s="99"/>
      <c r="J47" s="99"/>
      <c r="K47" s="89"/>
      <c r="L47" s="83"/>
      <c r="M47" s="83"/>
      <c r="N47" s="106"/>
      <c r="O47" s="99">
        <f>B48+B53+B58</f>
        <v>-2955.4</v>
      </c>
      <c r="P47" s="83"/>
      <c r="Q47" s="83"/>
    </row>
    <row r="48" spans="1:19" ht="17.350000000000001" x14ac:dyDescent="0.5">
      <c r="A48" s="83" t="s">
        <v>104</v>
      </c>
      <c r="B48" s="89">
        <v>-1163.95</v>
      </c>
      <c r="C48" s="89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99">
        <f>B49+B54+B59</f>
        <v>-951.48</v>
      </c>
      <c r="P48" s="83"/>
      <c r="Q48" s="83"/>
    </row>
    <row r="49" spans="1:17" ht="17.350000000000001" x14ac:dyDescent="0.5">
      <c r="A49" s="83" t="s">
        <v>103</v>
      </c>
      <c r="B49" s="102">
        <v>-395.74</v>
      </c>
      <c r="C49" s="99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99">
        <v>-152.5</v>
      </c>
      <c r="P49" s="83"/>
      <c r="Q49" s="83"/>
    </row>
    <row r="50" spans="1:17" ht="17.350000000000001" x14ac:dyDescent="0.5">
      <c r="A50" s="83" t="s">
        <v>171</v>
      </c>
      <c r="B50" s="99">
        <v>6200</v>
      </c>
      <c r="C50" s="99"/>
      <c r="D50" s="99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99">
        <f>- 1567-1637-1637-1756-1756</f>
        <v>-8353</v>
      </c>
      <c r="P50" s="83"/>
      <c r="Q50" s="83"/>
    </row>
    <row r="51" spans="1:17" ht="17.350000000000001" x14ac:dyDescent="0.5">
      <c r="A51" s="83"/>
      <c r="B51" s="83"/>
      <c r="C51" s="83"/>
      <c r="D51" s="83"/>
      <c r="E51" s="98"/>
      <c r="F51" s="83"/>
      <c r="G51" s="83"/>
      <c r="H51" s="83"/>
      <c r="I51" s="83"/>
      <c r="J51" s="83"/>
      <c r="K51" s="83"/>
      <c r="L51" s="83"/>
      <c r="M51" s="83"/>
      <c r="N51" s="83"/>
      <c r="O51" s="99">
        <f>SUM(O46:O50)</f>
        <v>32688.619999999995</v>
      </c>
      <c r="P51" s="83"/>
      <c r="Q51" s="83"/>
    </row>
    <row r="52" spans="1:17" ht="17.7" x14ac:dyDescent="0.55000000000000004">
      <c r="A52" s="82" t="s">
        <v>173</v>
      </c>
      <c r="B52" s="101">
        <v>7759.69</v>
      </c>
      <c r="C52" s="101"/>
      <c r="D52" s="83"/>
      <c r="E52" s="98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</row>
    <row r="53" spans="1:17" ht="17.350000000000001" x14ac:dyDescent="0.5">
      <c r="A53" s="83" t="s">
        <v>104</v>
      </c>
      <c r="B53" s="89">
        <v>-1163.95</v>
      </c>
      <c r="C53" s="89"/>
      <c r="D53" s="83"/>
      <c r="E53" s="98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</row>
    <row r="54" spans="1:17" ht="17.350000000000001" x14ac:dyDescent="0.5">
      <c r="A54" s="83" t="s">
        <v>103</v>
      </c>
      <c r="B54" s="102">
        <v>-395.74</v>
      </c>
      <c r="C54" s="99"/>
      <c r="D54" s="83"/>
      <c r="E54" s="98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</row>
    <row r="55" spans="1:17" ht="17.350000000000001" x14ac:dyDescent="0.5">
      <c r="A55" s="83" t="s">
        <v>171</v>
      </c>
      <c r="B55" s="99">
        <v>6200</v>
      </c>
      <c r="C55" s="99"/>
      <c r="D55" s="83"/>
      <c r="E55" s="83"/>
      <c r="F55" s="83"/>
      <c r="G55" s="83"/>
      <c r="H55" s="83"/>
      <c r="I55" s="83"/>
      <c r="J55" s="83"/>
      <c r="K55" s="83"/>
      <c r="L55" s="83"/>
      <c r="M55" s="83"/>
      <c r="N55" s="83"/>
      <c r="O55" s="83"/>
      <c r="P55" s="83"/>
      <c r="Q55" s="83"/>
    </row>
    <row r="56" spans="1:17" ht="17.350000000000001" x14ac:dyDescent="0.5">
      <c r="A56" s="83"/>
      <c r="B56" s="83"/>
      <c r="C56" s="83"/>
      <c r="D56" s="83"/>
      <c r="E56" s="83"/>
      <c r="F56" s="83"/>
      <c r="G56" s="83"/>
      <c r="H56" s="83"/>
      <c r="I56" s="83"/>
      <c r="J56" s="83"/>
      <c r="K56" s="83"/>
      <c r="L56" s="83"/>
      <c r="M56" s="83"/>
      <c r="N56" s="83"/>
      <c r="O56" s="83"/>
      <c r="P56" s="83"/>
      <c r="Q56" s="83"/>
    </row>
    <row r="57" spans="1:17" ht="17.7" x14ac:dyDescent="0.55000000000000004">
      <c r="A57" s="82" t="s">
        <v>185</v>
      </c>
      <c r="B57" s="94">
        <v>3137.5</v>
      </c>
      <c r="C57" s="94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</row>
    <row r="58" spans="1:17" ht="17.350000000000001" x14ac:dyDescent="0.5">
      <c r="A58" s="83" t="s">
        <v>186</v>
      </c>
      <c r="B58" s="89">
        <v>-627.5</v>
      </c>
      <c r="C58" s="89"/>
      <c r="D58" s="83"/>
      <c r="E58" s="83"/>
      <c r="F58" s="83"/>
      <c r="G58" s="83"/>
      <c r="H58" s="83"/>
      <c r="I58" s="83"/>
      <c r="J58" s="83"/>
      <c r="K58" s="83"/>
      <c r="L58" s="83"/>
      <c r="M58" s="83"/>
      <c r="N58" s="83"/>
      <c r="O58" s="83"/>
      <c r="P58" s="83"/>
      <c r="Q58" s="83"/>
    </row>
    <row r="59" spans="1:17" ht="17.350000000000001" x14ac:dyDescent="0.5">
      <c r="A59" s="83" t="s">
        <v>187</v>
      </c>
      <c r="B59" s="91">
        <v>-160</v>
      </c>
      <c r="C59" s="89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</row>
    <row r="60" spans="1:17" ht="17.350000000000001" x14ac:dyDescent="0.5">
      <c r="A60" s="83" t="s">
        <v>105</v>
      </c>
      <c r="B60" s="94">
        <f>SUM(B57:B59)</f>
        <v>2350</v>
      </c>
      <c r="C60" s="94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</row>
    <row r="61" spans="1:17" ht="17.350000000000001" x14ac:dyDescent="0.5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  <c r="Q61" s="83"/>
    </row>
    <row r="62" spans="1:17" ht="17.350000000000001" x14ac:dyDescent="0.5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</row>
    <row r="63" spans="1:17" ht="17.350000000000001" x14ac:dyDescent="0.5">
      <c r="A63" s="83"/>
      <c r="B63" s="83"/>
      <c r="C63" s="83"/>
      <c r="D63" s="83"/>
      <c r="E63" s="83"/>
      <c r="F63" s="83"/>
      <c r="G63" s="83"/>
      <c r="H63" s="83"/>
      <c r="I63" s="83"/>
      <c r="J63" s="83"/>
      <c r="K63" s="83"/>
      <c r="L63" s="83"/>
      <c r="M63" s="83"/>
      <c r="N63" s="83"/>
      <c r="O63" s="83"/>
      <c r="P63" s="83"/>
      <c r="Q63" s="83"/>
    </row>
    <row r="64" spans="1:17" ht="17.350000000000001" x14ac:dyDescent="0.5">
      <c r="A64" s="83"/>
      <c r="B64" s="83"/>
      <c r="C64" s="83"/>
      <c r="D64" s="83"/>
      <c r="E64" s="83"/>
      <c r="F64" s="83"/>
      <c r="G64" s="83"/>
      <c r="H64" s="83"/>
      <c r="I64" s="83"/>
      <c r="J64" s="83"/>
      <c r="K64" s="83"/>
      <c r="L64" s="83"/>
      <c r="M64" s="83"/>
      <c r="N64" s="83"/>
      <c r="O64" s="83"/>
      <c r="P64" s="83"/>
      <c r="Q64" s="83"/>
    </row>
    <row r="65" spans="1:17" ht="17.350000000000001" x14ac:dyDescent="0.5">
      <c r="A65" s="83"/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</row>
    <row r="66" spans="1:17" ht="17.350000000000001" x14ac:dyDescent="0.5">
      <c r="A66" s="83"/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</row>
    <row r="67" spans="1:17" ht="17.350000000000001" x14ac:dyDescent="0.5">
      <c r="A67" s="105">
        <v>43321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</row>
    <row r="68" spans="1:17" ht="17.350000000000001" x14ac:dyDescent="0.5">
      <c r="A68" s="83" t="s">
        <v>181</v>
      </c>
      <c r="B68" s="88">
        <v>1318</v>
      </c>
      <c r="C68" s="88"/>
      <c r="D68" s="98">
        <f>B68/B73</f>
        <v>0.13730596937180956</v>
      </c>
      <c r="E68" s="98"/>
      <c r="F68" s="88"/>
      <c r="G68" s="83"/>
      <c r="H68" s="83"/>
      <c r="I68" s="83"/>
      <c r="J68" s="83">
        <v>80</v>
      </c>
      <c r="K68" s="83">
        <v>80</v>
      </c>
      <c r="L68" s="83">
        <v>80</v>
      </c>
      <c r="M68" s="83">
        <v>80</v>
      </c>
      <c r="N68" s="83">
        <v>80</v>
      </c>
      <c r="O68" s="89">
        <f>B68-SUM(E68:N68)</f>
        <v>918</v>
      </c>
      <c r="P68" s="83"/>
      <c r="Q68" s="83"/>
    </row>
    <row r="69" spans="1:17" ht="17.350000000000001" x14ac:dyDescent="0.5">
      <c r="A69" s="83" t="s">
        <v>169</v>
      </c>
      <c r="B69" s="88">
        <v>2018</v>
      </c>
      <c r="C69" s="88"/>
      <c r="D69" s="98">
        <f>B69/B73</f>
        <v>0.21023023231586624</v>
      </c>
      <c r="E69" s="98"/>
      <c r="F69" s="88"/>
      <c r="G69" s="83"/>
      <c r="H69" s="83"/>
      <c r="I69" s="83"/>
      <c r="J69" s="83">
        <v>80</v>
      </c>
      <c r="K69" s="83">
        <v>80</v>
      </c>
      <c r="L69" s="83">
        <v>80</v>
      </c>
      <c r="M69" s="83">
        <v>80</v>
      </c>
      <c r="N69" s="83">
        <v>80</v>
      </c>
      <c r="O69" s="89">
        <f>B69-SUM(E69:N69)</f>
        <v>1618</v>
      </c>
      <c r="P69" s="83"/>
      <c r="Q69" s="83"/>
    </row>
    <row r="70" spans="1:17" ht="17.350000000000001" x14ac:dyDescent="0.5">
      <c r="A70" s="83" t="s">
        <v>168</v>
      </c>
      <c r="B70" s="88">
        <v>4995</v>
      </c>
      <c r="C70" s="88"/>
      <c r="D70" s="98">
        <f>B70/B73</f>
        <v>0.52036670486509007</v>
      </c>
      <c r="E70" s="98"/>
      <c r="F70" s="88"/>
      <c r="G70" s="83"/>
      <c r="H70" s="83"/>
      <c r="I70" s="83"/>
      <c r="J70" s="83">
        <v>350</v>
      </c>
      <c r="K70" s="83">
        <v>350</v>
      </c>
      <c r="L70" s="83">
        <v>350</v>
      </c>
      <c r="M70" s="83">
        <v>350</v>
      </c>
      <c r="N70" s="83">
        <v>350</v>
      </c>
      <c r="O70" s="89">
        <f>B70-SUM(E70:N70)</f>
        <v>3245</v>
      </c>
      <c r="P70" s="83"/>
      <c r="Q70" s="83"/>
    </row>
    <row r="71" spans="1:17" ht="17.7" x14ac:dyDescent="0.55000000000000004">
      <c r="A71" s="83" t="s">
        <v>180</v>
      </c>
      <c r="B71" s="88">
        <v>1268</v>
      </c>
      <c r="C71" s="88"/>
      <c r="D71" s="98">
        <f>B71/B73</f>
        <v>0.13209709344723408</v>
      </c>
      <c r="E71" s="98"/>
      <c r="F71" s="88"/>
      <c r="G71" s="83"/>
      <c r="H71" s="83"/>
      <c r="I71" s="83"/>
      <c r="J71" s="83">
        <v>252</v>
      </c>
      <c r="K71" s="83">
        <v>252</v>
      </c>
      <c r="L71" s="83">
        <v>252</v>
      </c>
      <c r="M71" s="83">
        <v>252</v>
      </c>
      <c r="N71" s="83">
        <v>260</v>
      </c>
      <c r="O71" s="89">
        <f>B71-SUM(E71:N71)</f>
        <v>0</v>
      </c>
      <c r="P71" s="103"/>
      <c r="Q71" s="83"/>
    </row>
    <row r="72" spans="1:17" ht="17.7" x14ac:dyDescent="0.55000000000000004">
      <c r="A72" s="83"/>
      <c r="B72" s="83"/>
      <c r="C72" s="83"/>
      <c r="D72" s="82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  <c r="Q72" s="83"/>
    </row>
    <row r="73" spans="1:17" ht="17.7" x14ac:dyDescent="0.55000000000000004">
      <c r="A73" s="83" t="s">
        <v>44</v>
      </c>
      <c r="B73" s="89">
        <f>SUM(B68:B71)</f>
        <v>9599</v>
      </c>
      <c r="C73" s="89"/>
      <c r="D73" s="83"/>
      <c r="E73" s="89"/>
      <c r="F73" s="88"/>
      <c r="G73" s="88">
        <f>SUM(G68:G71)</f>
        <v>0</v>
      </c>
      <c r="H73" s="88">
        <f>SUM(H68:H71)</f>
        <v>0</v>
      </c>
      <c r="I73" s="88">
        <f>SUM(I68:I71)</f>
        <v>0</v>
      </c>
      <c r="J73" s="88">
        <f t="shared" ref="J73:O73" si="8">SUM(J68:J71)</f>
        <v>762</v>
      </c>
      <c r="K73" s="88">
        <f t="shared" si="8"/>
        <v>762</v>
      </c>
      <c r="L73" s="88">
        <f t="shared" si="8"/>
        <v>762</v>
      </c>
      <c r="M73" s="88">
        <f t="shared" si="8"/>
        <v>762</v>
      </c>
      <c r="N73" s="88">
        <f t="shared" si="8"/>
        <v>770</v>
      </c>
      <c r="O73" s="89">
        <f t="shared" si="8"/>
        <v>5781</v>
      </c>
      <c r="P73" s="82"/>
      <c r="Q73" s="83"/>
    </row>
    <row r="74" spans="1:17" ht="17.350000000000001" x14ac:dyDescent="0.5">
      <c r="A74" s="83"/>
      <c r="B74" s="83"/>
      <c r="C74" s="83"/>
      <c r="D74" s="83"/>
      <c r="E74" s="83"/>
      <c r="F74" s="83"/>
      <c r="G74" s="83"/>
      <c r="H74" s="83"/>
      <c r="I74" s="83"/>
      <c r="J74" s="83"/>
      <c r="K74" s="83"/>
      <c r="L74" s="83"/>
      <c r="M74" s="83"/>
      <c r="N74" s="83"/>
      <c r="O74" s="83"/>
      <c r="P74" s="83"/>
      <c r="Q74" s="83"/>
    </row>
    <row r="76" spans="1:17" x14ac:dyDescent="0.45">
      <c r="G76" s="78"/>
    </row>
    <row r="77" spans="1:17" x14ac:dyDescent="0.45">
      <c r="G77" s="78"/>
    </row>
    <row r="78" spans="1:17" x14ac:dyDescent="0.45">
      <c r="G78" s="77"/>
    </row>
    <row r="79" spans="1:17" x14ac:dyDescent="0.45">
      <c r="G79" s="77"/>
    </row>
    <row r="81" spans="5:5" ht="15.35" x14ac:dyDescent="0.5">
      <c r="E81" s="74"/>
    </row>
  </sheetData>
  <pageMargins left="0.25" right="0" top="0.5" bottom="1" header="0.5" footer="0.5"/>
  <pageSetup scale="60" orientation="landscape" r:id="rId1"/>
  <headerFooter alignWithMargins="0"/>
  <rowBreaks count="1" manualBreakCount="1">
    <brk id="40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B19878-443F-4FD3-A25B-FEA63B444E9C}">
  <dimension ref="A3:G18"/>
  <sheetViews>
    <sheetView workbookViewId="0">
      <selection activeCell="O20" sqref="O20"/>
    </sheetView>
  </sheetViews>
  <sheetFormatPr defaultRowHeight="12.7" x14ac:dyDescent="0.4"/>
  <cols>
    <col min="1" max="1" width="26.52734375" customWidth="1"/>
    <col min="2" max="2" width="4.05859375" customWidth="1"/>
    <col min="3" max="3" width="17.05859375" customWidth="1"/>
    <col min="4" max="4" width="9.29296875" customWidth="1"/>
    <col min="5" max="5" width="16.3515625" customWidth="1"/>
    <col min="6" max="6" width="3.41015625" customWidth="1"/>
    <col min="7" max="7" width="12.41015625" customWidth="1"/>
  </cols>
  <sheetData>
    <row r="3" spans="1:7" s="109" customFormat="1" x14ac:dyDescent="0.4">
      <c r="A3" s="108" t="s">
        <v>241</v>
      </c>
      <c r="C3" s="108" t="s">
        <v>243</v>
      </c>
      <c r="E3" s="108" t="s">
        <v>248</v>
      </c>
      <c r="G3" s="108"/>
    </row>
    <row r="5" spans="1:7" x14ac:dyDescent="0.4">
      <c r="A5" s="110" t="s">
        <v>242</v>
      </c>
      <c r="C5" s="119">
        <v>90863.52</v>
      </c>
      <c r="E5" s="107">
        <v>0</v>
      </c>
      <c r="G5" s="111"/>
    </row>
    <row r="7" spans="1:7" x14ac:dyDescent="0.4">
      <c r="A7" s="110" t="s">
        <v>244</v>
      </c>
      <c r="C7" s="107"/>
      <c r="E7" s="107"/>
    </row>
    <row r="8" spans="1:7" x14ac:dyDescent="0.4">
      <c r="A8" t="s">
        <v>247</v>
      </c>
      <c r="C8" s="43">
        <v>12564.28</v>
      </c>
      <c r="E8" s="120">
        <v>123140.36</v>
      </c>
    </row>
    <row r="9" spans="1:7" x14ac:dyDescent="0.4">
      <c r="A9" s="110"/>
      <c r="C9" s="107"/>
      <c r="E9" s="107"/>
    </row>
    <row r="10" spans="1:7" x14ac:dyDescent="0.4">
      <c r="A10" s="110" t="s">
        <v>245</v>
      </c>
      <c r="C10" s="107"/>
      <c r="E10" s="107"/>
      <c r="G10" s="1"/>
    </row>
    <row r="11" spans="1:7" x14ac:dyDescent="0.4">
      <c r="A11" t="s">
        <v>246</v>
      </c>
      <c r="C11" s="121">
        <v>19712.560000000001</v>
      </c>
      <c r="E11" s="18">
        <v>0</v>
      </c>
    </row>
    <row r="12" spans="1:7" x14ac:dyDescent="0.4">
      <c r="A12" s="110"/>
      <c r="C12" s="107"/>
      <c r="E12" s="107"/>
    </row>
    <row r="13" spans="1:7" x14ac:dyDescent="0.4">
      <c r="A13" s="107" t="s">
        <v>1</v>
      </c>
      <c r="C13" s="111">
        <f>SUM(C5:C11)</f>
        <v>123140.36</v>
      </c>
      <c r="E13" s="111">
        <f>SUM(E5:E11)</f>
        <v>123140.36</v>
      </c>
      <c r="G13" s="112"/>
    </row>
    <row r="14" spans="1:7" x14ac:dyDescent="0.4">
      <c r="A14" s="110"/>
      <c r="C14" s="107"/>
      <c r="E14" s="107"/>
      <c r="G14" s="1"/>
    </row>
    <row r="15" spans="1:7" x14ac:dyDescent="0.4">
      <c r="A15" s="107" t="s">
        <v>249</v>
      </c>
      <c r="E15" s="122">
        <f>E13/2</f>
        <v>61570.18</v>
      </c>
    </row>
    <row r="16" spans="1:7" x14ac:dyDescent="0.4">
      <c r="A16" s="110"/>
      <c r="C16" s="107"/>
      <c r="E16" s="107"/>
      <c r="G16" s="1"/>
    </row>
    <row r="18" spans="1:7" x14ac:dyDescent="0.4">
      <c r="A18" s="107" t="s">
        <v>1</v>
      </c>
      <c r="G18" s="112"/>
    </row>
  </sheetData>
  <pageMargins left="0.7" right="0.7" top="1.25" bottom="0.75" header="0.3" footer="0.3"/>
  <pageSetup orientation="portrait" r:id="rId1"/>
  <headerFooter>
    <oddHeader>&amp;C&amp;"Arial,Bold"RECONCILIATION OF ASSETS</oddHeader>
    <oddFooter>&amp;R&amp;D &amp;T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V84"/>
  <sheetViews>
    <sheetView zoomScale="70" zoomScaleNormal="70" workbookViewId="0">
      <pane xSplit="1" topLeftCell="B1" activePane="topRight" state="frozen"/>
      <selection pane="topRight" activeCell="N77" sqref="N77"/>
    </sheetView>
  </sheetViews>
  <sheetFormatPr defaultColWidth="9.05859375" defaultRowHeight="15.35" x14ac:dyDescent="0.5"/>
  <cols>
    <col min="1" max="1" width="35.41015625" style="45" customWidth="1"/>
    <col min="2" max="2" width="14.5859375" style="45" customWidth="1"/>
    <col min="3" max="3" width="13.41015625" style="45" customWidth="1"/>
    <col min="4" max="4" width="14.52734375" style="45" customWidth="1"/>
    <col min="5" max="6" width="12.41015625" style="45" customWidth="1"/>
    <col min="7" max="7" width="13.1171875" style="45" customWidth="1"/>
    <col min="8" max="8" width="12.41015625" style="45" customWidth="1"/>
    <col min="9" max="9" width="14.46875" style="45" customWidth="1"/>
    <col min="10" max="10" width="2.234375" style="44" customWidth="1"/>
    <col min="11" max="11" width="13.1171875" style="45" customWidth="1"/>
    <col min="12" max="12" width="13.05859375" style="45" customWidth="1"/>
    <col min="13" max="13" width="1.703125" style="45" customWidth="1"/>
    <col min="14" max="14" width="12.703125" style="45" customWidth="1"/>
    <col min="15" max="15" width="13.05859375" style="45" customWidth="1"/>
    <col min="16" max="16" width="14" style="45" customWidth="1"/>
    <col min="17" max="17" width="12.1171875" style="45" customWidth="1"/>
    <col min="18" max="18" width="9.234375" style="45" customWidth="1"/>
    <col min="19" max="19" width="10.87890625" style="45" bestFit="1" customWidth="1"/>
    <col min="20" max="16384" width="9.05859375" style="45"/>
  </cols>
  <sheetData>
    <row r="1" spans="1:18" x14ac:dyDescent="0.5">
      <c r="A1" s="44" t="s">
        <v>30</v>
      </c>
    </row>
    <row r="2" spans="1:18" x14ac:dyDescent="0.5">
      <c r="A2" s="44"/>
      <c r="B2" s="46" t="s">
        <v>40</v>
      </c>
      <c r="C2" s="47" t="s">
        <v>43</v>
      </c>
      <c r="D2" s="46" t="s">
        <v>50</v>
      </c>
      <c r="E2" s="46" t="s">
        <v>51</v>
      </c>
      <c r="F2" s="46" t="s">
        <v>46</v>
      </c>
      <c r="G2" s="46" t="s">
        <v>47</v>
      </c>
      <c r="H2" s="46" t="s">
        <v>0</v>
      </c>
      <c r="I2" s="46" t="s">
        <v>3</v>
      </c>
      <c r="J2" s="48"/>
      <c r="K2" s="46" t="s">
        <v>10</v>
      </c>
      <c r="L2" s="46" t="s">
        <v>11</v>
      </c>
      <c r="M2" s="46"/>
      <c r="N2" s="46" t="s">
        <v>12</v>
      </c>
      <c r="O2" s="46" t="s">
        <v>13</v>
      </c>
      <c r="P2" s="46" t="s">
        <v>44</v>
      </c>
      <c r="Q2" s="49"/>
    </row>
    <row r="3" spans="1:18" x14ac:dyDescent="0.5">
      <c r="A3" s="44" t="s">
        <v>77</v>
      </c>
      <c r="B3" s="49"/>
      <c r="D3" s="49"/>
      <c r="E3" s="49"/>
      <c r="F3" s="49"/>
      <c r="G3" s="49"/>
      <c r="H3" s="49"/>
      <c r="I3" s="49"/>
      <c r="J3" s="50"/>
      <c r="K3" s="49"/>
      <c r="L3" s="49"/>
      <c r="M3" s="49"/>
      <c r="N3" s="49"/>
      <c r="O3" s="49"/>
      <c r="P3" s="49"/>
      <c r="Q3" s="49"/>
    </row>
    <row r="4" spans="1:18" ht="15.7" x14ac:dyDescent="0.55000000000000004">
      <c r="A4" s="45" t="s">
        <v>125</v>
      </c>
      <c r="B4" s="51">
        <v>1662</v>
      </c>
      <c r="C4" s="51">
        <v>1662</v>
      </c>
      <c r="D4" s="51">
        <v>1668.9</v>
      </c>
      <c r="E4" s="51">
        <v>1668.9</v>
      </c>
      <c r="F4" s="51">
        <v>1668.9</v>
      </c>
      <c r="G4" s="51">
        <v>1668.9</v>
      </c>
      <c r="H4" s="51">
        <v>1668.9</v>
      </c>
      <c r="I4" s="51">
        <v>1668.9</v>
      </c>
      <c r="J4" s="52"/>
      <c r="K4" s="51">
        <v>1668.9</v>
      </c>
      <c r="L4" s="51">
        <v>1668.9</v>
      </c>
      <c r="M4" s="53" t="s">
        <v>68</v>
      </c>
      <c r="N4" s="51">
        <v>1668.9</v>
      </c>
      <c r="O4" s="51">
        <v>1668.9</v>
      </c>
      <c r="P4" s="54">
        <f>SUM(B4:O4)</f>
        <v>20013</v>
      </c>
      <c r="Q4" s="54"/>
    </row>
    <row r="5" spans="1:18" ht="15.7" x14ac:dyDescent="0.55000000000000004">
      <c r="A5" s="45" t="s">
        <v>126</v>
      </c>
      <c r="B5" s="51">
        <v>450</v>
      </c>
      <c r="C5" s="51">
        <v>450</v>
      </c>
      <c r="D5" s="51">
        <v>350</v>
      </c>
      <c r="E5" s="51">
        <v>450</v>
      </c>
      <c r="F5" s="51">
        <v>400</v>
      </c>
      <c r="G5" s="51">
        <v>300</v>
      </c>
      <c r="H5" s="51">
        <v>400</v>
      </c>
      <c r="I5" s="51">
        <v>400</v>
      </c>
      <c r="J5" s="52"/>
      <c r="K5" s="51">
        <v>400</v>
      </c>
      <c r="L5" s="51">
        <v>400</v>
      </c>
      <c r="M5" s="53" t="s">
        <v>68</v>
      </c>
      <c r="N5" s="51">
        <v>450</v>
      </c>
      <c r="O5" s="51">
        <v>450</v>
      </c>
      <c r="P5" s="54">
        <f>SUM(B5:O5)</f>
        <v>4900</v>
      </c>
      <c r="Q5" s="54"/>
    </row>
    <row r="6" spans="1:18" ht="15.7" x14ac:dyDescent="0.55000000000000004">
      <c r="A6" s="45" t="s">
        <v>127</v>
      </c>
      <c r="B6" s="51">
        <v>500</v>
      </c>
      <c r="C6" s="51">
        <v>500</v>
      </c>
      <c r="D6" s="51">
        <v>500</v>
      </c>
      <c r="E6" s="51">
        <v>500</v>
      </c>
      <c r="F6" s="51">
        <v>500</v>
      </c>
      <c r="G6" s="51">
        <v>500</v>
      </c>
      <c r="H6" s="51">
        <v>500</v>
      </c>
      <c r="I6" s="51">
        <v>500</v>
      </c>
      <c r="J6" s="55"/>
      <c r="K6" s="51">
        <v>500</v>
      </c>
      <c r="L6" s="51">
        <v>500</v>
      </c>
      <c r="M6" s="53" t="s">
        <v>68</v>
      </c>
      <c r="N6" s="51">
        <v>500</v>
      </c>
      <c r="O6" s="51">
        <v>500</v>
      </c>
      <c r="P6" s="54">
        <f>SUM(B6:O6)</f>
        <v>6000</v>
      </c>
      <c r="Q6" s="54"/>
    </row>
    <row r="7" spans="1:18" ht="15.7" x14ac:dyDescent="0.55000000000000004">
      <c r="A7" s="45" t="s">
        <v>143</v>
      </c>
      <c r="B7" s="56">
        <f>545+466.09+82+180.68+206+500+295+625+154</f>
        <v>3053.77</v>
      </c>
      <c r="C7" s="56">
        <f>295</f>
        <v>295</v>
      </c>
      <c r="D7" s="56">
        <v>295</v>
      </c>
      <c r="E7" s="56">
        <v>295</v>
      </c>
      <c r="F7" s="56">
        <v>295</v>
      </c>
      <c r="G7" s="56">
        <v>295</v>
      </c>
      <c r="H7" s="56">
        <v>295</v>
      </c>
      <c r="I7" s="56">
        <v>295</v>
      </c>
      <c r="J7" s="57"/>
      <c r="K7" s="56">
        <v>295</v>
      </c>
      <c r="L7" s="56">
        <v>295</v>
      </c>
      <c r="M7" s="53" t="s">
        <v>68</v>
      </c>
      <c r="N7" s="56">
        <v>295</v>
      </c>
      <c r="O7" s="56">
        <v>295</v>
      </c>
      <c r="P7" s="58">
        <f>SUM(B7:O7)</f>
        <v>6298.77</v>
      </c>
      <c r="Q7" s="54"/>
    </row>
    <row r="8" spans="1:18" x14ac:dyDescent="0.5">
      <c r="A8" s="45" t="s">
        <v>44</v>
      </c>
      <c r="B8" s="51">
        <f>SUM(B4:B7)</f>
        <v>5665.77</v>
      </c>
      <c r="C8" s="51">
        <f t="shared" ref="C8:O8" si="0">SUM(C4:C7)</f>
        <v>2907</v>
      </c>
      <c r="D8" s="51">
        <f t="shared" si="0"/>
        <v>2813.9</v>
      </c>
      <c r="E8" s="51">
        <f t="shared" si="0"/>
        <v>2913.9</v>
      </c>
      <c r="F8" s="51">
        <f t="shared" si="0"/>
        <v>2863.9</v>
      </c>
      <c r="G8" s="51">
        <f t="shared" si="0"/>
        <v>2763.9</v>
      </c>
      <c r="H8" s="51">
        <f t="shared" si="0"/>
        <v>2863.9</v>
      </c>
      <c r="I8" s="51">
        <f t="shared" si="0"/>
        <v>2863.9</v>
      </c>
      <c r="J8" s="55"/>
      <c r="K8" s="51">
        <f t="shared" si="0"/>
        <v>2863.9</v>
      </c>
      <c r="L8" s="51">
        <f t="shared" si="0"/>
        <v>2863.9</v>
      </c>
      <c r="M8" s="51"/>
      <c r="N8" s="51">
        <f t="shared" si="0"/>
        <v>2913.9</v>
      </c>
      <c r="O8" s="51">
        <f t="shared" si="0"/>
        <v>2913.9</v>
      </c>
      <c r="P8" s="54">
        <f>SUM(B8:O8)</f>
        <v>37211.770000000011</v>
      </c>
      <c r="Q8" s="54"/>
      <c r="R8" s="44"/>
    </row>
    <row r="9" spans="1:18" x14ac:dyDescent="0.5">
      <c r="B9" s="49"/>
      <c r="D9" s="49"/>
      <c r="E9" s="49"/>
      <c r="F9" s="49"/>
      <c r="G9" s="49"/>
      <c r="H9" s="49"/>
      <c r="I9" s="49"/>
      <c r="J9" s="50"/>
      <c r="K9" s="49"/>
      <c r="L9" s="49"/>
      <c r="M9" s="49"/>
      <c r="N9" s="49"/>
      <c r="O9" s="49"/>
      <c r="P9" s="49"/>
      <c r="Q9" s="49"/>
    </row>
    <row r="10" spans="1:18" x14ac:dyDescent="0.5">
      <c r="A10" s="44" t="s">
        <v>128</v>
      </c>
      <c r="B10" s="49"/>
      <c r="D10" s="49"/>
      <c r="E10" s="49"/>
      <c r="F10" s="49"/>
      <c r="G10" s="49"/>
      <c r="H10" s="49"/>
      <c r="I10" s="49"/>
      <c r="J10" s="50"/>
      <c r="K10" s="49"/>
      <c r="L10" s="49"/>
      <c r="M10" s="49"/>
      <c r="N10" s="49"/>
      <c r="O10" s="50"/>
      <c r="P10" s="49"/>
      <c r="Q10" s="49"/>
    </row>
    <row r="11" spans="1:18" x14ac:dyDescent="0.5">
      <c r="B11" s="54"/>
      <c r="C11" s="54"/>
      <c r="D11" s="54"/>
      <c r="E11" s="54"/>
      <c r="F11" s="54"/>
      <c r="G11" s="54"/>
      <c r="H11" s="54"/>
      <c r="I11" s="54"/>
      <c r="J11" s="59"/>
      <c r="K11" s="54"/>
      <c r="L11" s="54"/>
      <c r="M11" s="54"/>
      <c r="N11" s="54"/>
      <c r="O11" s="54"/>
      <c r="P11" s="54">
        <f>SUM(B11:O11)</f>
        <v>0</v>
      </c>
      <c r="Q11" s="54"/>
    </row>
    <row r="12" spans="1:18" ht="15.75" customHeight="1" x14ac:dyDescent="0.55000000000000004">
      <c r="A12" s="45" t="s">
        <v>154</v>
      </c>
      <c r="B12" s="54">
        <v>50</v>
      </c>
      <c r="C12" s="54">
        <v>50</v>
      </c>
      <c r="D12" s="54">
        <v>50</v>
      </c>
      <c r="E12" s="54">
        <v>50</v>
      </c>
      <c r="F12" s="54">
        <v>50</v>
      </c>
      <c r="G12" s="54">
        <v>50</v>
      </c>
      <c r="H12" s="54">
        <v>50</v>
      </c>
      <c r="I12" s="54">
        <v>50</v>
      </c>
      <c r="J12" s="52"/>
      <c r="K12" s="54">
        <v>50</v>
      </c>
      <c r="L12" s="54">
        <v>50</v>
      </c>
      <c r="M12" s="53" t="s">
        <v>68</v>
      </c>
      <c r="N12" s="54">
        <v>50</v>
      </c>
      <c r="O12" s="54">
        <v>50</v>
      </c>
      <c r="P12" s="54">
        <f>SUM(B12:O12)</f>
        <v>600</v>
      </c>
      <c r="Q12" s="54"/>
    </row>
    <row r="13" spans="1:18" ht="15.75" customHeight="1" x14ac:dyDescent="0.55000000000000004">
      <c r="A13" s="45" t="s">
        <v>155</v>
      </c>
      <c r="B13" s="54"/>
      <c r="C13" s="54"/>
      <c r="D13" s="54"/>
      <c r="E13" s="54"/>
      <c r="F13" s="59"/>
      <c r="G13" s="54"/>
      <c r="H13" s="54">
        <v>50</v>
      </c>
      <c r="I13" s="54">
        <v>70</v>
      </c>
      <c r="J13" s="52"/>
      <c r="K13" s="54">
        <v>70</v>
      </c>
      <c r="L13" s="54">
        <v>70</v>
      </c>
      <c r="M13" s="53" t="s">
        <v>68</v>
      </c>
      <c r="N13" s="54">
        <v>70</v>
      </c>
      <c r="O13" s="54">
        <v>70</v>
      </c>
      <c r="P13" s="54"/>
      <c r="Q13" s="54"/>
    </row>
    <row r="14" spans="1:18" x14ac:dyDescent="0.5">
      <c r="A14" s="45" t="s">
        <v>116</v>
      </c>
      <c r="B14" s="54">
        <v>497.05</v>
      </c>
      <c r="C14" s="54"/>
      <c r="D14" s="54">
        <v>466</v>
      </c>
      <c r="E14" s="54"/>
      <c r="F14" s="54"/>
      <c r="G14" s="54">
        <v>466</v>
      </c>
      <c r="H14" s="54"/>
      <c r="I14" s="54"/>
      <c r="J14" s="59"/>
      <c r="K14" s="54">
        <v>497.05</v>
      </c>
      <c r="L14" s="54">
        <v>0</v>
      </c>
      <c r="M14" s="54"/>
      <c r="N14" s="54"/>
      <c r="O14" s="54"/>
      <c r="P14" s="54">
        <f t="shared" ref="P14:P20" si="1">SUM(B14:O14)</f>
        <v>1926.1</v>
      </c>
      <c r="Q14" s="54"/>
      <c r="R14" s="44"/>
    </row>
    <row r="15" spans="1:18" ht="14.25" customHeight="1" x14ac:dyDescent="0.55000000000000004">
      <c r="A15" s="45" t="s">
        <v>131</v>
      </c>
      <c r="B15" s="54">
        <v>70</v>
      </c>
      <c r="C15" s="54">
        <v>70</v>
      </c>
      <c r="D15" s="54">
        <v>70</v>
      </c>
      <c r="E15" s="54">
        <v>70</v>
      </c>
      <c r="F15" s="54">
        <v>70</v>
      </c>
      <c r="G15" s="54">
        <v>70</v>
      </c>
      <c r="H15" s="54">
        <v>70</v>
      </c>
      <c r="I15" s="54">
        <v>70</v>
      </c>
      <c r="J15" s="52"/>
      <c r="K15" s="54">
        <v>70</v>
      </c>
      <c r="L15" s="54"/>
      <c r="M15" s="54"/>
      <c r="N15" s="54">
        <v>70</v>
      </c>
      <c r="O15" s="54">
        <v>70</v>
      </c>
      <c r="P15" s="54">
        <f t="shared" si="1"/>
        <v>770</v>
      </c>
      <c r="Q15" s="54"/>
    </row>
    <row r="16" spans="1:18" ht="14.25" customHeight="1" x14ac:dyDescent="0.55000000000000004">
      <c r="A16" s="45" t="s">
        <v>88</v>
      </c>
      <c r="B16" s="54">
        <v>295</v>
      </c>
      <c r="C16" s="54">
        <v>295</v>
      </c>
      <c r="D16" s="54">
        <v>295</v>
      </c>
      <c r="E16" s="54">
        <v>295</v>
      </c>
      <c r="F16" s="54">
        <v>295</v>
      </c>
      <c r="G16" s="54">
        <v>295</v>
      </c>
      <c r="H16" s="54">
        <v>295</v>
      </c>
      <c r="I16" s="54">
        <v>295</v>
      </c>
      <c r="J16" s="52"/>
      <c r="K16" s="54">
        <v>295</v>
      </c>
      <c r="L16" s="54">
        <v>295</v>
      </c>
      <c r="M16" s="53" t="s">
        <v>68</v>
      </c>
      <c r="N16" s="54">
        <v>295</v>
      </c>
      <c r="O16" s="54">
        <v>295</v>
      </c>
      <c r="P16" s="54">
        <f t="shared" si="1"/>
        <v>3540</v>
      </c>
      <c r="Q16" s="54"/>
    </row>
    <row r="17" spans="1:22" ht="14.25" customHeight="1" x14ac:dyDescent="0.5">
      <c r="A17" s="45" t="s">
        <v>132</v>
      </c>
      <c r="B17" s="54">
        <v>545</v>
      </c>
      <c r="C17" s="54"/>
      <c r="D17" s="54"/>
      <c r="E17" s="54"/>
      <c r="F17" s="54"/>
      <c r="G17" s="54"/>
      <c r="H17" s="54"/>
      <c r="I17" s="54"/>
      <c r="J17" s="59"/>
      <c r="K17" s="54"/>
      <c r="L17" s="54"/>
      <c r="M17" s="54"/>
      <c r="N17" s="54"/>
      <c r="O17" s="59"/>
      <c r="P17" s="54">
        <f t="shared" si="1"/>
        <v>545</v>
      </c>
      <c r="Q17" s="54"/>
    </row>
    <row r="18" spans="1:22" ht="15.7" x14ac:dyDescent="0.55000000000000004">
      <c r="A18" s="45" t="s">
        <v>117</v>
      </c>
      <c r="B18" s="54">
        <v>55.05</v>
      </c>
      <c r="C18" s="54">
        <v>67.67</v>
      </c>
      <c r="D18" s="54">
        <v>53.82</v>
      </c>
      <c r="E18" s="54">
        <v>57.1</v>
      </c>
      <c r="F18" s="54">
        <v>57.1</v>
      </c>
      <c r="G18" s="54">
        <v>57.48</v>
      </c>
      <c r="H18" s="54">
        <v>57.48</v>
      </c>
      <c r="I18" s="54">
        <v>68.77</v>
      </c>
      <c r="J18" s="52"/>
      <c r="K18" s="54">
        <v>68.77</v>
      </c>
      <c r="L18" s="54">
        <v>68.77</v>
      </c>
      <c r="M18" s="53" t="s">
        <v>68</v>
      </c>
      <c r="N18" s="54">
        <v>7</v>
      </c>
      <c r="O18" s="54">
        <v>7</v>
      </c>
      <c r="P18" s="54">
        <f t="shared" si="1"/>
        <v>626.01</v>
      </c>
      <c r="Q18" s="59"/>
      <c r="R18" s="44"/>
    </row>
    <row r="19" spans="1:22" ht="15.7" x14ac:dyDescent="0.55000000000000004">
      <c r="A19" s="45" t="s">
        <v>156</v>
      </c>
      <c r="B19" s="54">
        <v>101.67</v>
      </c>
      <c r="C19" s="54">
        <v>54.66</v>
      </c>
      <c r="D19" s="54">
        <v>82.33</v>
      </c>
      <c r="E19" s="54">
        <v>97.95</v>
      </c>
      <c r="F19" s="54">
        <v>88.5</v>
      </c>
      <c r="G19" s="54">
        <v>33.92</v>
      </c>
      <c r="H19" s="54">
        <v>27.3</v>
      </c>
      <c r="I19" s="54">
        <v>23.29</v>
      </c>
      <c r="J19" s="52"/>
      <c r="K19" s="54">
        <v>27.94</v>
      </c>
      <c r="L19" s="54">
        <v>23.83</v>
      </c>
      <c r="M19" s="53" t="s">
        <v>68</v>
      </c>
      <c r="N19" s="54">
        <v>16.309999999999999</v>
      </c>
      <c r="O19" s="54">
        <v>15</v>
      </c>
      <c r="P19" s="54">
        <f t="shared" si="1"/>
        <v>592.70000000000005</v>
      </c>
      <c r="Q19" s="54"/>
      <c r="R19" s="44"/>
    </row>
    <row r="20" spans="1:22" ht="14.25" customHeight="1" x14ac:dyDescent="0.55000000000000004">
      <c r="A20" s="45" t="s">
        <v>20</v>
      </c>
      <c r="B20" s="54">
        <v>303</v>
      </c>
      <c r="C20" s="54">
        <v>303</v>
      </c>
      <c r="D20" s="54">
        <v>303</v>
      </c>
      <c r="E20" s="54">
        <v>303</v>
      </c>
      <c r="F20" s="54">
        <v>303</v>
      </c>
      <c r="G20" s="54">
        <v>303</v>
      </c>
      <c r="H20" s="54">
        <v>303</v>
      </c>
      <c r="I20" s="54">
        <v>303</v>
      </c>
      <c r="J20" s="52"/>
      <c r="K20" s="54">
        <v>303</v>
      </c>
      <c r="L20" s="54">
        <v>303</v>
      </c>
      <c r="M20" s="53" t="s">
        <v>68</v>
      </c>
      <c r="N20" s="54">
        <v>303</v>
      </c>
      <c r="O20" s="54">
        <v>303</v>
      </c>
      <c r="P20" s="54">
        <f t="shared" si="1"/>
        <v>3636</v>
      </c>
      <c r="Q20" s="54"/>
    </row>
    <row r="21" spans="1:22" ht="14.25" customHeight="1" x14ac:dyDescent="0.55000000000000004">
      <c r="A21" s="45" t="s">
        <v>157</v>
      </c>
      <c r="B21" s="54">
        <f>82+500</f>
        <v>582</v>
      </c>
      <c r="C21" s="54">
        <v>500</v>
      </c>
      <c r="D21" s="54">
        <v>500</v>
      </c>
      <c r="E21" s="54"/>
      <c r="F21" s="54"/>
      <c r="G21" s="54"/>
      <c r="H21" s="54"/>
      <c r="I21" s="54">
        <v>50</v>
      </c>
      <c r="J21" s="52"/>
      <c r="K21" s="54">
        <v>100</v>
      </c>
      <c r="L21" s="54"/>
      <c r="M21" s="54"/>
      <c r="N21" s="54"/>
      <c r="O21" s="54"/>
      <c r="P21" s="54"/>
      <c r="Q21" s="54"/>
    </row>
    <row r="22" spans="1:22" ht="15" customHeight="1" x14ac:dyDescent="0.55000000000000004">
      <c r="A22" s="45" t="s">
        <v>24</v>
      </c>
      <c r="B22" s="54">
        <v>50</v>
      </c>
      <c r="C22" s="54">
        <v>50</v>
      </c>
      <c r="D22" s="54">
        <v>50</v>
      </c>
      <c r="E22" s="54">
        <v>50</v>
      </c>
      <c r="F22" s="54">
        <v>50</v>
      </c>
      <c r="G22" s="54">
        <v>50</v>
      </c>
      <c r="H22" s="54">
        <v>50</v>
      </c>
      <c r="I22" s="54">
        <v>50</v>
      </c>
      <c r="J22" s="52"/>
      <c r="K22" s="54">
        <v>50</v>
      </c>
      <c r="L22" s="54">
        <v>50</v>
      </c>
      <c r="M22" s="53" t="s">
        <v>68</v>
      </c>
      <c r="N22" s="54">
        <v>50</v>
      </c>
      <c r="O22" s="54">
        <v>50</v>
      </c>
      <c r="P22" s="54">
        <f>SUM(B22:O22)</f>
        <v>600</v>
      </c>
      <c r="Q22" s="54"/>
      <c r="R22" s="44"/>
    </row>
    <row r="23" spans="1:22" ht="15" customHeight="1" x14ac:dyDescent="0.5">
      <c r="A23" s="45" t="s">
        <v>152</v>
      </c>
      <c r="B23" s="54"/>
      <c r="C23" s="54"/>
      <c r="D23" s="54"/>
      <c r="E23" s="54"/>
      <c r="F23" s="54"/>
      <c r="G23" s="54"/>
      <c r="H23" s="54"/>
      <c r="I23" s="54"/>
      <c r="J23" s="59"/>
      <c r="K23" s="54"/>
      <c r="L23" s="54"/>
      <c r="M23" s="54"/>
      <c r="N23" s="54"/>
      <c r="O23" s="54"/>
      <c r="P23" s="54"/>
      <c r="Q23" s="54"/>
      <c r="R23" s="44"/>
    </row>
    <row r="24" spans="1:22" ht="15.7" x14ac:dyDescent="0.55000000000000004">
      <c r="A24" s="45" t="s">
        <v>158</v>
      </c>
      <c r="B24" s="54">
        <v>68.349999999999994</v>
      </c>
      <c r="C24" s="54">
        <v>61.39</v>
      </c>
      <c r="D24" s="54">
        <v>52.25</v>
      </c>
      <c r="E24" s="54">
        <v>40.770000000000003</v>
      </c>
      <c r="F24" s="54">
        <v>32.81</v>
      </c>
      <c r="G24" s="54">
        <v>124.51</v>
      </c>
      <c r="H24" s="54">
        <v>186.9</v>
      </c>
      <c r="I24" s="54">
        <v>167.55</v>
      </c>
      <c r="J24" s="52"/>
      <c r="K24" s="54">
        <v>152.57</v>
      </c>
      <c r="L24" s="54">
        <v>105.26</v>
      </c>
      <c r="M24" s="53" t="s">
        <v>68</v>
      </c>
      <c r="N24" s="54">
        <v>112.15</v>
      </c>
      <c r="O24" s="54">
        <v>120</v>
      </c>
      <c r="P24" s="54">
        <f t="shared" ref="P24:P32" si="2">SUM(B24:O24)</f>
        <v>1224.51</v>
      </c>
      <c r="Q24" s="54"/>
    </row>
    <row r="25" spans="1:22" ht="15.7" x14ac:dyDescent="0.55000000000000004">
      <c r="A25" s="45" t="s">
        <v>36</v>
      </c>
      <c r="B25" s="54">
        <v>155</v>
      </c>
      <c r="C25" s="54"/>
      <c r="D25" s="54"/>
      <c r="E25" s="54"/>
      <c r="F25" s="54">
        <v>0</v>
      </c>
      <c r="G25" s="54"/>
      <c r="H25" s="54">
        <v>125</v>
      </c>
      <c r="I25" s="54">
        <v>125</v>
      </c>
      <c r="J25" s="52"/>
      <c r="K25" s="54">
        <v>125</v>
      </c>
      <c r="L25" s="54">
        <v>125</v>
      </c>
      <c r="M25" s="53" t="s">
        <v>68</v>
      </c>
      <c r="N25" s="54">
        <v>125</v>
      </c>
      <c r="O25" s="54">
        <v>125</v>
      </c>
      <c r="P25" s="54">
        <f t="shared" si="2"/>
        <v>905</v>
      </c>
      <c r="Q25" s="54"/>
    </row>
    <row r="26" spans="1:22" ht="15.7" x14ac:dyDescent="0.55000000000000004">
      <c r="A26" s="45" t="s">
        <v>115</v>
      </c>
      <c r="B26" s="54">
        <v>45</v>
      </c>
      <c r="C26" s="54"/>
      <c r="D26" s="54"/>
      <c r="E26" s="54"/>
      <c r="F26" s="59">
        <v>0</v>
      </c>
      <c r="G26" s="54"/>
      <c r="H26" s="54">
        <v>0</v>
      </c>
      <c r="I26" s="54"/>
      <c r="J26" s="59"/>
      <c r="K26" s="54">
        <v>50</v>
      </c>
      <c r="L26" s="54">
        <v>50</v>
      </c>
      <c r="M26" s="53" t="s">
        <v>68</v>
      </c>
      <c r="N26" s="54">
        <v>50</v>
      </c>
      <c r="O26" s="54">
        <v>50</v>
      </c>
      <c r="P26" s="54">
        <f t="shared" si="2"/>
        <v>245</v>
      </c>
      <c r="Q26" s="54"/>
    </row>
    <row r="27" spans="1:22" x14ac:dyDescent="0.5">
      <c r="A27" s="45" t="s">
        <v>159</v>
      </c>
      <c r="B27" s="54">
        <v>625</v>
      </c>
      <c r="C27" s="54"/>
      <c r="D27" s="54"/>
      <c r="E27" s="54"/>
      <c r="F27" s="59"/>
      <c r="G27" s="54"/>
      <c r="H27" s="54"/>
      <c r="I27" s="54"/>
      <c r="J27" s="59"/>
      <c r="K27" s="54"/>
      <c r="L27" s="59"/>
      <c r="M27" s="59"/>
      <c r="N27" s="54"/>
      <c r="O27" s="54"/>
      <c r="P27" s="54">
        <f t="shared" si="2"/>
        <v>625</v>
      </c>
      <c r="Q27" s="54"/>
    </row>
    <row r="28" spans="1:22" ht="15.7" x14ac:dyDescent="0.55000000000000004">
      <c r="A28" s="45" t="s">
        <v>162</v>
      </c>
      <c r="B28" s="54">
        <v>70</v>
      </c>
      <c r="C28" s="54">
        <v>70</v>
      </c>
      <c r="D28" s="54">
        <v>70</v>
      </c>
      <c r="E28" s="54">
        <v>70</v>
      </c>
      <c r="F28" s="54">
        <v>70</v>
      </c>
      <c r="G28" s="54">
        <v>70</v>
      </c>
      <c r="H28" s="54">
        <v>70</v>
      </c>
      <c r="I28" s="54">
        <v>70</v>
      </c>
      <c r="J28" s="52"/>
      <c r="K28" s="54">
        <v>120</v>
      </c>
      <c r="L28" s="54">
        <v>120</v>
      </c>
      <c r="M28" s="53" t="s">
        <v>68</v>
      </c>
      <c r="N28" s="54">
        <v>120</v>
      </c>
      <c r="O28" s="54">
        <v>120</v>
      </c>
      <c r="P28" s="54">
        <f t="shared" si="2"/>
        <v>1040</v>
      </c>
      <c r="Q28" s="54"/>
    </row>
    <row r="29" spans="1:22" ht="15.7" x14ac:dyDescent="0.55000000000000004">
      <c r="A29" s="45" t="s">
        <v>160</v>
      </c>
      <c r="B29" s="54">
        <v>170.14</v>
      </c>
      <c r="C29" s="54">
        <v>169.99</v>
      </c>
      <c r="D29" s="54">
        <v>169.99</v>
      </c>
      <c r="E29" s="54">
        <v>169.99</v>
      </c>
      <c r="F29" s="54">
        <v>170.14</v>
      </c>
      <c r="G29" s="54">
        <v>170.23</v>
      </c>
      <c r="H29" s="54">
        <v>176.92</v>
      </c>
      <c r="I29" s="54">
        <v>182.11</v>
      </c>
      <c r="J29" s="52"/>
      <c r="K29" s="54">
        <v>182.11</v>
      </c>
      <c r="L29" s="54">
        <v>182.11</v>
      </c>
      <c r="M29" s="53" t="s">
        <v>68</v>
      </c>
      <c r="N29" s="54">
        <v>158.13999999999999</v>
      </c>
      <c r="O29" s="54">
        <v>158.13999999999999</v>
      </c>
      <c r="P29" s="54">
        <f t="shared" si="2"/>
        <v>2060.0100000000002</v>
      </c>
      <c r="Q29" s="54"/>
      <c r="S29" s="44"/>
      <c r="V29" s="44"/>
    </row>
    <row r="30" spans="1:22" ht="15.7" x14ac:dyDescent="0.55000000000000004">
      <c r="A30" s="45" t="s">
        <v>161</v>
      </c>
      <c r="B30" s="54">
        <v>97.4</v>
      </c>
      <c r="C30" s="54">
        <v>92.66</v>
      </c>
      <c r="D30" s="54">
        <v>95.03</v>
      </c>
      <c r="E30" s="54">
        <v>95.16</v>
      </c>
      <c r="F30" s="54">
        <v>95.16</v>
      </c>
      <c r="G30" s="54">
        <v>95.16</v>
      </c>
      <c r="H30" s="54">
        <v>95.21</v>
      </c>
      <c r="I30" s="54">
        <v>95.21</v>
      </c>
      <c r="J30" s="52"/>
      <c r="K30" s="54">
        <v>95.21</v>
      </c>
      <c r="L30" s="54">
        <v>115.44</v>
      </c>
      <c r="M30" s="53" t="s">
        <v>68</v>
      </c>
      <c r="N30" s="54">
        <v>92</v>
      </c>
      <c r="O30" s="54">
        <v>92</v>
      </c>
      <c r="P30" s="54">
        <f t="shared" si="2"/>
        <v>1155.6400000000001</v>
      </c>
      <c r="Q30" s="54"/>
      <c r="S30" s="44"/>
    </row>
    <row r="31" spans="1:22" x14ac:dyDescent="0.5">
      <c r="A31" s="45" t="s">
        <v>134</v>
      </c>
      <c r="B31" s="54">
        <f>62+92.5</f>
        <v>154.5</v>
      </c>
      <c r="C31" s="54"/>
      <c r="D31" s="54"/>
      <c r="E31" s="54"/>
      <c r="F31" s="54">
        <v>0</v>
      </c>
      <c r="G31" s="54">
        <v>40.520000000000003</v>
      </c>
      <c r="H31" s="54"/>
      <c r="I31" s="54"/>
      <c r="J31" s="59"/>
      <c r="K31" s="54"/>
      <c r="L31" s="54"/>
      <c r="M31" s="54"/>
      <c r="N31" s="54"/>
      <c r="O31" s="54"/>
      <c r="P31" s="54">
        <f t="shared" si="2"/>
        <v>195.02</v>
      </c>
      <c r="Q31" s="54"/>
    </row>
    <row r="32" spans="1:22" ht="15.7" x14ac:dyDescent="0.55000000000000004">
      <c r="A32" s="45" t="s">
        <v>29</v>
      </c>
      <c r="B32" s="58">
        <v>475</v>
      </c>
      <c r="C32" s="58">
        <v>475</v>
      </c>
      <c r="D32" s="58">
        <v>475</v>
      </c>
      <c r="E32" s="58">
        <v>620</v>
      </c>
      <c r="F32" s="58">
        <v>620</v>
      </c>
      <c r="G32" s="58">
        <v>620</v>
      </c>
      <c r="H32" s="58">
        <v>620</v>
      </c>
      <c r="I32" s="58">
        <v>620</v>
      </c>
      <c r="J32" s="52"/>
      <c r="K32" s="58">
        <v>620</v>
      </c>
      <c r="L32" s="58">
        <v>425</v>
      </c>
      <c r="M32" s="53" t="s">
        <v>68</v>
      </c>
      <c r="N32" s="58">
        <v>620</v>
      </c>
      <c r="O32" s="58">
        <v>620</v>
      </c>
      <c r="P32" s="58">
        <f t="shared" si="2"/>
        <v>6810</v>
      </c>
      <c r="Q32" s="54"/>
    </row>
    <row r="33" spans="1:20" x14ac:dyDescent="0.5">
      <c r="A33" s="44"/>
      <c r="B33" s="60">
        <f>SUM(B11:B32)</f>
        <v>4409.16</v>
      </c>
      <c r="C33" s="60">
        <f t="shared" ref="C33:P33" si="3">SUM(C11:C32)</f>
        <v>2259.37</v>
      </c>
      <c r="D33" s="60">
        <f t="shared" si="3"/>
        <v>2732.4200000000005</v>
      </c>
      <c r="E33" s="60">
        <f t="shared" si="3"/>
        <v>1918.9700000000003</v>
      </c>
      <c r="F33" s="60">
        <f t="shared" si="3"/>
        <v>1901.7100000000003</v>
      </c>
      <c r="G33" s="60">
        <f t="shared" si="3"/>
        <v>2445.8200000000002</v>
      </c>
      <c r="H33" s="60">
        <f t="shared" si="3"/>
        <v>2176.8100000000004</v>
      </c>
      <c r="I33" s="60">
        <f t="shared" si="3"/>
        <v>2239.9299999999998</v>
      </c>
      <c r="J33" s="61"/>
      <c r="K33" s="60">
        <f t="shared" si="3"/>
        <v>2876.65</v>
      </c>
      <c r="L33" s="60">
        <f t="shared" si="3"/>
        <v>1983.4099999999999</v>
      </c>
      <c r="M33" s="60"/>
      <c r="N33" s="60">
        <f t="shared" si="3"/>
        <v>2138.6</v>
      </c>
      <c r="O33" s="60">
        <f t="shared" si="3"/>
        <v>2145.14</v>
      </c>
      <c r="P33" s="60">
        <f t="shared" si="3"/>
        <v>27095.99</v>
      </c>
      <c r="Q33" s="60"/>
    </row>
    <row r="34" spans="1:20" x14ac:dyDescent="0.5">
      <c r="A34" s="45" t="s">
        <v>129</v>
      </c>
      <c r="B34" s="54"/>
      <c r="C34" s="54"/>
      <c r="G34" s="44"/>
      <c r="H34" s="44"/>
      <c r="I34" s="44"/>
      <c r="K34" s="44"/>
      <c r="L34" s="44"/>
      <c r="M34" s="44"/>
      <c r="N34" s="44"/>
      <c r="O34" s="44"/>
    </row>
    <row r="35" spans="1:20" ht="15.7" x14ac:dyDescent="0.55000000000000004">
      <c r="A35" s="45" t="s">
        <v>87</v>
      </c>
      <c r="B35" s="62">
        <v>200</v>
      </c>
      <c r="C35" s="62">
        <v>200</v>
      </c>
      <c r="D35" s="62">
        <v>200</v>
      </c>
      <c r="E35" s="62">
        <v>100</v>
      </c>
      <c r="F35" s="62">
        <v>100</v>
      </c>
      <c r="G35" s="62">
        <v>50</v>
      </c>
      <c r="H35" s="62">
        <v>100</v>
      </c>
      <c r="I35" s="62">
        <v>100</v>
      </c>
      <c r="J35" s="63"/>
      <c r="K35" s="62">
        <v>100</v>
      </c>
      <c r="L35" s="62">
        <v>100</v>
      </c>
      <c r="M35" s="53" t="s">
        <v>68</v>
      </c>
      <c r="N35" s="62">
        <v>100</v>
      </c>
      <c r="O35" s="62">
        <v>100</v>
      </c>
      <c r="P35" s="54">
        <f>SUM(B35:O35)</f>
        <v>1450</v>
      </c>
      <c r="Q35" s="54"/>
    </row>
    <row r="36" spans="1:20" ht="15.7" x14ac:dyDescent="0.55000000000000004">
      <c r="A36" s="45" t="s">
        <v>33</v>
      </c>
      <c r="B36" s="62">
        <v>300</v>
      </c>
      <c r="C36" s="62">
        <v>300</v>
      </c>
      <c r="D36" s="62">
        <v>300</v>
      </c>
      <c r="E36" s="62">
        <v>300</v>
      </c>
      <c r="F36" s="64">
        <v>300</v>
      </c>
      <c r="G36" s="64">
        <v>140</v>
      </c>
      <c r="H36" s="64">
        <v>200</v>
      </c>
      <c r="I36" s="64">
        <v>300</v>
      </c>
      <c r="J36" s="65"/>
      <c r="K36" s="64">
        <v>300</v>
      </c>
      <c r="L36" s="64">
        <v>300</v>
      </c>
      <c r="M36" s="53" t="s">
        <v>68</v>
      </c>
      <c r="N36" s="64">
        <v>300</v>
      </c>
      <c r="O36" s="64">
        <v>300</v>
      </c>
      <c r="P36" s="54">
        <f>SUM(B36:O36)</f>
        <v>3340</v>
      </c>
      <c r="Q36" s="54"/>
      <c r="T36" s="44"/>
    </row>
    <row r="37" spans="1:20" ht="15.7" x14ac:dyDescent="0.55000000000000004">
      <c r="A37" s="45" t="s">
        <v>34</v>
      </c>
      <c r="B37" s="66">
        <v>120</v>
      </c>
      <c r="C37" s="66">
        <v>120</v>
      </c>
      <c r="D37" s="67">
        <v>120</v>
      </c>
      <c r="E37" s="67">
        <v>120</v>
      </c>
      <c r="F37" s="56">
        <v>120</v>
      </c>
      <c r="G37" s="56">
        <v>120</v>
      </c>
      <c r="H37" s="56">
        <v>75</v>
      </c>
      <c r="I37" s="56">
        <v>120</v>
      </c>
      <c r="J37" s="57"/>
      <c r="K37" s="56">
        <v>120</v>
      </c>
      <c r="L37" s="56">
        <v>120</v>
      </c>
      <c r="M37" s="53" t="s">
        <v>68</v>
      </c>
      <c r="N37" s="56">
        <v>120</v>
      </c>
      <c r="O37" s="56">
        <v>120</v>
      </c>
      <c r="P37" s="58">
        <f>SUM(B37:O37)</f>
        <v>1395</v>
      </c>
      <c r="Q37" s="54"/>
    </row>
    <row r="38" spans="1:20" x14ac:dyDescent="0.5">
      <c r="B38" s="60">
        <f>SUM(B35:B37)</f>
        <v>620</v>
      </c>
      <c r="C38" s="60">
        <f t="shared" ref="C38:O38" si="4">SUM(C35:C37)</f>
        <v>620</v>
      </c>
      <c r="D38" s="60">
        <f t="shared" si="4"/>
        <v>620</v>
      </c>
      <c r="E38" s="60">
        <f t="shared" si="4"/>
        <v>520</v>
      </c>
      <c r="F38" s="60">
        <f t="shared" si="4"/>
        <v>520</v>
      </c>
      <c r="G38" s="60">
        <f t="shared" si="4"/>
        <v>310</v>
      </c>
      <c r="H38" s="60">
        <f t="shared" si="4"/>
        <v>375</v>
      </c>
      <c r="I38" s="60">
        <f t="shared" si="4"/>
        <v>520</v>
      </c>
      <c r="J38" s="61"/>
      <c r="K38" s="60">
        <f t="shared" si="4"/>
        <v>520</v>
      </c>
      <c r="L38" s="60">
        <f t="shared" si="4"/>
        <v>520</v>
      </c>
      <c r="M38" s="60"/>
      <c r="N38" s="60">
        <f t="shared" si="4"/>
        <v>520</v>
      </c>
      <c r="O38" s="60">
        <f t="shared" si="4"/>
        <v>520</v>
      </c>
      <c r="P38" s="60">
        <f>P33+SUM(P35:P37)</f>
        <v>33280.990000000005</v>
      </c>
      <c r="Q38" s="60"/>
      <c r="R38" s="55"/>
    </row>
    <row r="39" spans="1:20" x14ac:dyDescent="0.5">
      <c r="B39" s="54"/>
      <c r="C39" s="54"/>
      <c r="D39" s="68"/>
      <c r="K39" s="44"/>
      <c r="L39" s="44"/>
      <c r="M39" s="44"/>
      <c r="N39" s="44"/>
      <c r="O39" s="44"/>
    </row>
    <row r="40" spans="1:20" x14ac:dyDescent="0.5">
      <c r="A40" s="45" t="s">
        <v>130</v>
      </c>
      <c r="B40" s="51">
        <f>B33+B38</f>
        <v>5029.16</v>
      </c>
      <c r="C40" s="51">
        <f t="shared" ref="C40:O40" si="5">C33+C38</f>
        <v>2879.37</v>
      </c>
      <c r="D40" s="51">
        <f t="shared" si="5"/>
        <v>3352.4200000000005</v>
      </c>
      <c r="E40" s="51">
        <f t="shared" si="5"/>
        <v>2438.9700000000003</v>
      </c>
      <c r="F40" s="51">
        <f t="shared" si="5"/>
        <v>2421.71</v>
      </c>
      <c r="G40" s="51">
        <f t="shared" si="5"/>
        <v>2755.82</v>
      </c>
      <c r="H40" s="51">
        <f t="shared" si="5"/>
        <v>2551.8100000000004</v>
      </c>
      <c r="I40" s="51">
        <f t="shared" si="5"/>
        <v>2759.93</v>
      </c>
      <c r="J40" s="55"/>
      <c r="K40" s="51">
        <f t="shared" si="5"/>
        <v>3396.65</v>
      </c>
      <c r="L40" s="51">
        <f t="shared" si="5"/>
        <v>2503.41</v>
      </c>
      <c r="M40" s="51"/>
      <c r="N40" s="51">
        <f t="shared" si="5"/>
        <v>2658.6</v>
      </c>
      <c r="O40" s="51">
        <f t="shared" si="5"/>
        <v>2665.14</v>
      </c>
      <c r="P40" s="54">
        <f>SUM(B40:O40)</f>
        <v>35412.990000000005</v>
      </c>
      <c r="Q40" s="54"/>
      <c r="T40" s="44"/>
    </row>
    <row r="41" spans="1:20" x14ac:dyDescent="0.5">
      <c r="B41" s="54"/>
      <c r="C41" s="54"/>
      <c r="D41" s="68"/>
      <c r="T41" s="44"/>
    </row>
    <row r="42" spans="1:20" x14ac:dyDescent="0.5">
      <c r="A42" s="44"/>
      <c r="B42" s="69">
        <f>B8-B40</f>
        <v>636.61000000000058</v>
      </c>
      <c r="C42" s="69">
        <f t="shared" ref="C42:O42" si="6">C8-C40</f>
        <v>27.630000000000109</v>
      </c>
      <c r="D42" s="69">
        <f t="shared" si="6"/>
        <v>-538.52000000000044</v>
      </c>
      <c r="E42" s="69">
        <f t="shared" si="6"/>
        <v>474.92999999999984</v>
      </c>
      <c r="F42" s="69">
        <f t="shared" si="6"/>
        <v>442.19000000000005</v>
      </c>
      <c r="G42" s="69">
        <f t="shared" si="6"/>
        <v>8.0799999999999272</v>
      </c>
      <c r="H42" s="69">
        <f t="shared" si="6"/>
        <v>312.08999999999969</v>
      </c>
      <c r="I42" s="69">
        <f t="shared" si="6"/>
        <v>103.97000000000025</v>
      </c>
      <c r="J42" s="70"/>
      <c r="K42" s="69">
        <f t="shared" si="6"/>
        <v>-532.75</v>
      </c>
      <c r="L42" s="69">
        <f t="shared" si="6"/>
        <v>360.49000000000024</v>
      </c>
      <c r="M42" s="69"/>
      <c r="N42" s="69">
        <f t="shared" si="6"/>
        <v>255.30000000000018</v>
      </c>
      <c r="O42" s="69">
        <f t="shared" si="6"/>
        <v>248.76000000000022</v>
      </c>
      <c r="P42" s="54">
        <f>SUM(B42:O42)</f>
        <v>1798.7800000000007</v>
      </c>
      <c r="Q42" s="54"/>
      <c r="R42" s="44"/>
      <c r="T42" s="44"/>
    </row>
    <row r="43" spans="1:20" x14ac:dyDescent="0.5">
      <c r="I43" s="44"/>
      <c r="R43" s="51"/>
    </row>
    <row r="44" spans="1:20" x14ac:dyDescent="0.5">
      <c r="A44" s="45" t="s">
        <v>142</v>
      </c>
      <c r="G44" s="68"/>
      <c r="K44" s="70"/>
      <c r="L44" s="44"/>
      <c r="M44" s="44"/>
    </row>
    <row r="45" spans="1:20" x14ac:dyDescent="0.5">
      <c r="A45" s="45" t="s">
        <v>146</v>
      </c>
      <c r="K45" s="69"/>
      <c r="S45" s="69"/>
    </row>
    <row r="46" spans="1:20" x14ac:dyDescent="0.5">
      <c r="A46" s="45" t="s">
        <v>153</v>
      </c>
      <c r="G46" s="69"/>
      <c r="H46" s="69"/>
      <c r="I46" s="69"/>
      <c r="J46" s="70"/>
      <c r="R46" s="44"/>
      <c r="S46" s="69"/>
    </row>
    <row r="47" spans="1:20" x14ac:dyDescent="0.5">
      <c r="A47" s="45" t="s">
        <v>149</v>
      </c>
      <c r="I47" s="44"/>
      <c r="S47" s="69"/>
    </row>
    <row r="48" spans="1:20" x14ac:dyDescent="0.5">
      <c r="I48" s="44"/>
      <c r="S48" s="69"/>
    </row>
    <row r="50" spans="1:10" x14ac:dyDescent="0.5">
      <c r="A50" s="44" t="s">
        <v>133</v>
      </c>
      <c r="B50" s="71">
        <v>10638.29</v>
      </c>
      <c r="C50" s="69"/>
      <c r="D50" s="69"/>
      <c r="E50" s="69"/>
      <c r="F50" s="69"/>
      <c r="G50" s="69"/>
      <c r="H50" s="69"/>
      <c r="I50" s="69"/>
      <c r="J50" s="70"/>
    </row>
    <row r="51" spans="1:10" x14ac:dyDescent="0.5">
      <c r="A51" s="45" t="s">
        <v>104</v>
      </c>
      <c r="B51" s="54">
        <v>-1595.74</v>
      </c>
    </row>
    <row r="52" spans="1:10" x14ac:dyDescent="0.5">
      <c r="A52" s="45" t="s">
        <v>103</v>
      </c>
      <c r="B52" s="56">
        <v>-542.54999999999995</v>
      </c>
    </row>
    <row r="53" spans="1:10" x14ac:dyDescent="0.5">
      <c r="A53" s="45" t="s">
        <v>105</v>
      </c>
      <c r="B53" s="69">
        <f>SUM(B50:B52)</f>
        <v>8500.0000000000018</v>
      </c>
      <c r="C53" s="69"/>
    </row>
    <row r="54" spans="1:10" x14ac:dyDescent="0.5">
      <c r="D54" s="68"/>
    </row>
    <row r="55" spans="1:10" x14ac:dyDescent="0.5">
      <c r="A55" s="45" t="s">
        <v>136</v>
      </c>
      <c r="B55" s="72">
        <f>82+466</f>
        <v>548</v>
      </c>
    </row>
    <row r="56" spans="1:10" x14ac:dyDescent="0.5">
      <c r="A56" s="45" t="s">
        <v>135</v>
      </c>
      <c r="B56" s="72">
        <v>1100</v>
      </c>
    </row>
    <row r="57" spans="1:10" x14ac:dyDescent="0.5">
      <c r="A57" s="45" t="s">
        <v>141</v>
      </c>
      <c r="B57" s="62">
        <f>SUM(295*7)</f>
        <v>2065</v>
      </c>
    </row>
    <row r="58" spans="1:10" x14ac:dyDescent="0.5">
      <c r="A58" s="45" t="s">
        <v>137</v>
      </c>
      <c r="B58" s="54">
        <v>545</v>
      </c>
    </row>
    <row r="59" spans="1:10" x14ac:dyDescent="0.5">
      <c r="A59" s="45" t="s">
        <v>139</v>
      </c>
      <c r="B59" s="54">
        <v>206</v>
      </c>
    </row>
    <row r="60" spans="1:10" x14ac:dyDescent="0.5">
      <c r="B60" s="54"/>
    </row>
    <row r="61" spans="1:10" x14ac:dyDescent="0.5">
      <c r="A61" s="45" t="s">
        <v>138</v>
      </c>
      <c r="B61" s="54">
        <v>180.68</v>
      </c>
      <c r="C61" s="44"/>
    </row>
    <row r="62" spans="1:10" x14ac:dyDescent="0.5">
      <c r="A62" s="45" t="s">
        <v>140</v>
      </c>
      <c r="B62" s="58">
        <f>625+1700+154</f>
        <v>2479</v>
      </c>
    </row>
    <row r="63" spans="1:10" x14ac:dyDescent="0.5">
      <c r="A63" s="45" t="s">
        <v>44</v>
      </c>
      <c r="B63" s="72">
        <f>SUM(B55:B62)</f>
        <v>7123.68</v>
      </c>
    </row>
    <row r="65" spans="1:6" x14ac:dyDescent="0.5">
      <c r="A65" s="44" t="s">
        <v>144</v>
      </c>
      <c r="B65" s="45">
        <v>9078.76</v>
      </c>
      <c r="F65" s="51"/>
    </row>
    <row r="66" spans="1:6" x14ac:dyDescent="0.5">
      <c r="A66" s="45" t="s">
        <v>145</v>
      </c>
      <c r="B66" s="45">
        <v>-1815.75</v>
      </c>
      <c r="F66" s="51"/>
    </row>
    <row r="67" spans="1:6" ht="15.7" thickBot="1" x14ac:dyDescent="0.55000000000000004">
      <c r="A67" s="45" t="s">
        <v>103</v>
      </c>
      <c r="B67" s="73">
        <v>-463.01</v>
      </c>
      <c r="F67" s="68"/>
    </row>
    <row r="68" spans="1:6" x14ac:dyDescent="0.5">
      <c r="A68" s="45" t="s">
        <v>105</v>
      </c>
      <c r="B68" s="54">
        <v>6800</v>
      </c>
      <c r="F68" s="68"/>
    </row>
    <row r="70" spans="1:6" x14ac:dyDescent="0.5">
      <c r="A70" s="44" t="s">
        <v>147</v>
      </c>
      <c r="B70" s="72">
        <v>15018.77</v>
      </c>
      <c r="D70" s="44"/>
    </row>
    <row r="71" spans="1:6" x14ac:dyDescent="0.5">
      <c r="A71" s="45" t="s">
        <v>148</v>
      </c>
      <c r="B71" s="72">
        <v>-2252.81</v>
      </c>
    </row>
    <row r="72" spans="1:6" x14ac:dyDescent="0.5">
      <c r="A72" s="45" t="s">
        <v>103</v>
      </c>
      <c r="B72" s="47">
        <v>-765.96</v>
      </c>
    </row>
    <row r="73" spans="1:6" x14ac:dyDescent="0.5">
      <c r="A73" s="45" t="s">
        <v>105</v>
      </c>
      <c r="B73" s="72">
        <v>12000</v>
      </c>
    </row>
    <row r="75" spans="1:6" x14ac:dyDescent="0.5">
      <c r="A75" s="45" t="s">
        <v>150</v>
      </c>
    </row>
    <row r="76" spans="1:6" x14ac:dyDescent="0.5">
      <c r="A76" s="45" t="s">
        <v>151</v>
      </c>
    </row>
    <row r="78" spans="1:6" x14ac:dyDescent="0.5">
      <c r="A78" s="81"/>
      <c r="B78" s="75"/>
    </row>
    <row r="79" spans="1:6" x14ac:dyDescent="0.5">
      <c r="A79" s="74" t="s">
        <v>164</v>
      </c>
      <c r="B79" s="78">
        <v>6883.6</v>
      </c>
    </row>
    <row r="80" spans="1:6" x14ac:dyDescent="0.5">
      <c r="A80" s="75" t="s">
        <v>148</v>
      </c>
      <c r="B80" s="75">
        <v>-1032.54</v>
      </c>
    </row>
    <row r="81" spans="1:2" x14ac:dyDescent="0.5">
      <c r="A81" s="75" t="s">
        <v>165</v>
      </c>
      <c r="B81" s="76">
        <v>-351.06</v>
      </c>
    </row>
    <row r="82" spans="1:2" x14ac:dyDescent="0.5">
      <c r="A82" s="75" t="s">
        <v>105</v>
      </c>
      <c r="B82" s="80">
        <v>5500</v>
      </c>
    </row>
    <row r="83" spans="1:2" x14ac:dyDescent="0.5">
      <c r="A83" s="74"/>
      <c r="B83" s="75"/>
    </row>
    <row r="84" spans="1:2" x14ac:dyDescent="0.5">
      <c r="A84" s="75"/>
      <c r="B84" s="75"/>
    </row>
  </sheetData>
  <phoneticPr fontId="3" type="noConversion"/>
  <pageMargins left="0.5" right="0.5" top="0.5" bottom="0.5" header="0.5" footer="0.25"/>
  <pageSetup scale="60" fitToHeight="0" orientation="landscape" r:id="rId1"/>
  <headerFooter alignWithMargins="0"/>
  <rowBreaks count="1" manualBreakCount="1"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12</vt:i4>
      </vt:variant>
    </vt:vector>
  </HeadingPairs>
  <TitlesOfParts>
    <vt:vector size="28" baseType="lpstr">
      <vt:lpstr>monthly bills 2024</vt:lpstr>
      <vt:lpstr>monthly bills 2023</vt:lpstr>
      <vt:lpstr>monthly bills 2022</vt:lpstr>
      <vt:lpstr>monthly bills 2021 </vt:lpstr>
      <vt:lpstr>monthly bills 2020</vt:lpstr>
      <vt:lpstr>monthly bills 2019</vt:lpstr>
      <vt:lpstr>monthly bills 2018</vt:lpstr>
      <vt:lpstr>Dads rec sheet</vt:lpstr>
      <vt:lpstr>monthly bills 2017</vt:lpstr>
      <vt:lpstr>monthly bills 2016</vt:lpstr>
      <vt:lpstr>monthly bills 2015</vt:lpstr>
      <vt:lpstr>2014</vt:lpstr>
      <vt:lpstr>2012+2013</vt:lpstr>
      <vt:lpstr>2011</vt:lpstr>
      <vt:lpstr>monthly bills 2014</vt:lpstr>
      <vt:lpstr>monthly bills 2013</vt:lpstr>
      <vt:lpstr>'monthly bills 2013'!Print_Area</vt:lpstr>
      <vt:lpstr>'monthly bills 2014'!Print_Area</vt:lpstr>
      <vt:lpstr>'monthly bills 2015'!Print_Area</vt:lpstr>
      <vt:lpstr>'monthly bills 2016'!Print_Area</vt:lpstr>
      <vt:lpstr>'monthly bills 2017'!Print_Area</vt:lpstr>
      <vt:lpstr>'monthly bills 2018'!Print_Area</vt:lpstr>
      <vt:lpstr>'monthly bills 2019'!Print_Area</vt:lpstr>
      <vt:lpstr>'monthly bills 2020'!Print_Area</vt:lpstr>
      <vt:lpstr>'monthly bills 2021 '!Print_Area</vt:lpstr>
      <vt:lpstr>'monthly bills 2022'!Print_Area</vt:lpstr>
      <vt:lpstr>'monthly bills 2023'!Print_Area</vt:lpstr>
      <vt:lpstr>'monthly bills 2024'!Print_Area</vt:lpstr>
    </vt:vector>
  </TitlesOfParts>
  <Company>Egan-Managed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white</dc:creator>
  <cp:lastModifiedBy>Maureen White</cp:lastModifiedBy>
  <cp:lastPrinted>2024-02-13T19:58:49Z</cp:lastPrinted>
  <dcterms:created xsi:type="dcterms:W3CDTF">2010-04-28T17:56:03Z</dcterms:created>
  <dcterms:modified xsi:type="dcterms:W3CDTF">2024-03-05T13:02:56Z</dcterms:modified>
</cp:coreProperties>
</file>